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130" documentId="8_{8CCFD2AA-CA6A-4D05-9D7E-E1CEF488EDA3}" xr6:coauthVersionLast="47" xr6:coauthVersionMax="47" xr10:uidLastSave="{1B287999-35C2-4B96-B8DC-4FA1C8DF129F}"/>
  <bookViews>
    <workbookView xWindow="3308" yWindow="3308" windowWidth="13200" windowHeight="9450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58" i="1"/>
  <c r="C23" i="1"/>
  <c r="D35" i="1"/>
  <c r="D50" i="1"/>
  <c r="E50" i="1"/>
  <c r="G50" i="1" s="1"/>
  <c r="H50" i="1" s="1"/>
  <c r="D46" i="1"/>
  <c r="D45" i="1"/>
  <c r="D43" i="1"/>
  <c r="D42" i="1"/>
  <c r="E31" i="1"/>
  <c r="E33" i="1"/>
  <c r="C22" i="1"/>
  <c r="C21" i="1"/>
  <c r="C20" i="1"/>
  <c r="E18" i="1"/>
  <c r="G58" i="1" l="1"/>
  <c r="H58" i="1" s="1"/>
  <c r="G31" i="1"/>
  <c r="H31" i="1" s="1"/>
  <c r="G33" i="1"/>
  <c r="H33" i="1" s="1"/>
  <c r="E23" i="1" l="1"/>
  <c r="G23" i="1" l="1"/>
  <c r="H23" i="1" s="1"/>
  <c r="E40" i="1"/>
  <c r="G40" i="1" s="1"/>
  <c r="H40" i="1" l="1"/>
  <c r="E17" i="1" l="1"/>
  <c r="G17" i="1" s="1"/>
  <c r="E14" i="1"/>
  <c r="E16" i="1"/>
  <c r="G16" i="1" s="1"/>
  <c r="H17" i="1" l="1"/>
  <c r="G14" i="1"/>
  <c r="H14" i="1" s="1"/>
  <c r="G18" i="1"/>
  <c r="H18" i="1" s="1"/>
  <c r="H16" i="1"/>
  <c r="E57" i="1" l="1"/>
  <c r="E56" i="1"/>
  <c r="G56" i="1" s="1"/>
  <c r="H56" i="1" s="1"/>
  <c r="E51" i="1"/>
  <c r="G51" i="1" s="1"/>
  <c r="H51" i="1" s="1"/>
  <c r="E49" i="1"/>
  <c r="G49" i="1" s="1"/>
  <c r="E48" i="1"/>
  <c r="G48" i="1" s="1"/>
  <c r="E46" i="1"/>
  <c r="G46" i="1" s="1"/>
  <c r="H46" i="1" s="1"/>
  <c r="E45" i="1"/>
  <c r="G45" i="1" s="1"/>
  <c r="E43" i="1"/>
  <c r="G43" i="1" s="1"/>
  <c r="H43" i="1" s="1"/>
  <c r="E42" i="1"/>
  <c r="G42" i="1" s="1"/>
  <c r="E38" i="1"/>
  <c r="G38" i="1" s="1"/>
  <c r="H38" i="1" s="1"/>
  <c r="E35" i="1"/>
  <c r="E28" i="1"/>
  <c r="G28" i="1" s="1"/>
  <c r="E27" i="1"/>
  <c r="E26" i="1"/>
  <c r="G26" i="1" s="1"/>
  <c r="E25" i="1"/>
  <c r="G25" i="1" s="1"/>
  <c r="H25" i="1" s="1"/>
  <c r="E22" i="1"/>
  <c r="G22" i="1" s="1"/>
  <c r="H22" i="1" s="1"/>
  <c r="E21" i="1"/>
  <c r="E20" i="1"/>
  <c r="E7" i="1"/>
  <c r="G20" i="1" l="1"/>
  <c r="H20" i="1" s="1"/>
  <c r="E52" i="1"/>
  <c r="E8" i="1"/>
  <c r="G7" i="1"/>
  <c r="G8" i="1" s="1"/>
  <c r="E12" i="1" s="1"/>
  <c r="H12" i="1" s="1"/>
  <c r="H42" i="1"/>
  <c r="H45" i="1"/>
  <c r="H28" i="1"/>
  <c r="H49" i="1"/>
  <c r="G21" i="1"/>
  <c r="H21" i="1" s="1"/>
  <c r="H26" i="1"/>
  <c r="H48" i="1"/>
  <c r="G27" i="1"/>
  <c r="H27" i="1" s="1"/>
  <c r="G35" i="1"/>
  <c r="H35" i="1" s="1"/>
  <c r="G57" i="1"/>
  <c r="H57" i="1" s="1"/>
  <c r="H7" i="1" l="1"/>
  <c r="G59" i="1"/>
  <c r="H59" i="1" s="1"/>
  <c r="H8" i="1"/>
  <c r="E60" i="1" l="1"/>
  <c r="G52" i="1"/>
  <c r="E53" i="1" l="1"/>
  <c r="H52" i="1"/>
  <c r="G53" i="1"/>
  <c r="G60" i="1"/>
  <c r="G61" i="1" s="1"/>
  <c r="E61" i="1"/>
  <c r="H60" i="1" l="1"/>
  <c r="H53" i="1"/>
  <c r="H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  <author>Breana Jordan 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  <comment ref="E12" authorId="1" shapeId="0" xr:uid="{218A05C2-A6E8-4169-A78F-DBB1BE0736B7}">
      <text>
        <r>
          <rPr>
            <sz val="9"/>
            <color indexed="81"/>
            <rFont val="Tahoma"/>
            <family val="2"/>
          </rPr>
          <t xml:space="preserve">If in a cash rental situation, enter in your per acre cost here. The Landlord Share % in </t>
        </r>
        <r>
          <rPr>
            <b/>
            <sz val="9"/>
            <color indexed="81"/>
            <rFont val="Tahoma"/>
            <family val="2"/>
          </rPr>
          <t>F7</t>
        </r>
        <r>
          <rPr>
            <sz val="9"/>
            <color indexed="81"/>
            <rFont val="Tahoma"/>
            <family val="2"/>
          </rPr>
          <t xml:space="preserve"> should be set to </t>
        </r>
        <r>
          <rPr>
            <b/>
            <sz val="9"/>
            <color indexed="81"/>
            <rFont val="Tahoma"/>
            <family val="2"/>
          </rPr>
          <t>0%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K18" authorId="1" shapeId="0" xr:uid="{86491C2A-21E2-4386-B235-36139D179FA9}">
      <text>
        <r>
          <rPr>
            <sz val="9"/>
            <color indexed="81"/>
            <rFont val="Tahoma"/>
            <family val="2"/>
          </rPr>
          <t xml:space="preserve">The wheat budget is developed following recommendations from Dr. Jason Kelley, </t>
        </r>
        <r>
          <rPr>
            <u/>
            <sz val="9"/>
            <color indexed="81"/>
            <rFont val="Tahoma"/>
            <family val="2"/>
          </rPr>
          <t>jkelley@uada.edu</t>
        </r>
        <r>
          <rPr>
            <sz val="9"/>
            <color indexed="81"/>
            <rFont val="Tahoma"/>
            <family val="2"/>
          </rPr>
          <t xml:space="preserve">, and the Wheat Research Verification Program. For questions concerning the crop budget program, contact Breana Watkins, </t>
        </r>
        <r>
          <rPr>
            <u/>
            <sz val="9"/>
            <color indexed="81"/>
            <rFont val="Tahoma"/>
            <family val="2"/>
          </rPr>
          <t>bjwatkins@uada.edu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<sst xmlns="http://schemas.openxmlformats.org/spreadsheetml/2006/main" count="102" uniqueCount="74">
  <si>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</si>
  <si>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</si>
  <si>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</si>
  <si>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</si>
  <si>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</si>
  <si>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</si>
  <si>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</si>
  <si>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</si>
  <si>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</si>
  <si>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bu</t>
  </si>
  <si>
    <t xml:space="preserve">                                                                       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</si>
  <si>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</si>
  <si>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</si>
  <si>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</si>
  <si>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</si>
  <si>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</si>
  <si>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</si>
  <si>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</si>
  <si>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</si>
  <si>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 xml:space="preserve">  ADJUVANTS</t>
  </si>
  <si>
    <t xml:space="preserve">  HAULING</t>
  </si>
  <si>
    <t xml:space="preserve">  DRYING</t>
  </si>
  <si>
    <t>acre</t>
  </si>
  <si>
    <t xml:space="preserve">  OPERATOR LABOR      </t>
  </si>
  <si>
    <t>Tractors</t>
  </si>
  <si>
    <t>hour</t>
  </si>
  <si>
    <t>Harvesters</t>
  </si>
  <si>
    <t xml:space="preserve">  DIESEL FUEL</t>
  </si>
  <si>
    <t>gal</t>
  </si>
  <si>
    <t xml:space="preserve">  REPAIR &amp; MAINTENANCE</t>
  </si>
  <si>
    <t>INTEREST ON OP. CAP.</t>
  </si>
  <si>
    <t>lbs</t>
  </si>
  <si>
    <t xml:space="preserve">  CUSTOM SPRAY AND FERTILIZER</t>
  </si>
  <si>
    <t xml:space="preserve">  CROP CONSULTANT/SCOUTING FEE</t>
  </si>
  <si>
    <t>Tractors/Implements</t>
  </si>
  <si>
    <t xml:space="preserve">  CROP INSURANCE</t>
  </si>
  <si>
    <t xml:space="preserve">  LAND EXPENSE</t>
  </si>
  <si>
    <t>Note: Cost of production estimates are based on input prices gathered in fall 2023.</t>
  </si>
  <si>
    <t>Tractors/Implements**</t>
  </si>
  <si>
    <t>__________________________________________________________________________________________________</t>
  </si>
  <si>
    <t>Corn Seed</t>
  </si>
  <si>
    <t xml:space="preserve">           Estimated Costs and Returns per Acre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</si>
  <si>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6</t>
    </r>
  </si>
  <si>
    <t>**Implements assumed in use for this budget are as follows: 1 x disk; 1 x field cultivator; 1 x bedder/hipper; 1 x do-all; 1 x planter</t>
  </si>
  <si>
    <t xml:space="preserve">         Wheat</t>
  </si>
  <si>
    <t xml:space="preserve">             Non-Irrigated, Arkansas, 2025</t>
  </si>
  <si>
    <t>Wheat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</si>
  <si>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</si>
  <si>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</si>
  <si>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ZiduaSC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</si>
  <si>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Gramoxone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</si>
  <si>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Ammonium Sulfate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</si>
  <si>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1,2,3,4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</si>
  <si>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5</t>
    </r>
  </si>
  <si>
    <t>Surfactant</t>
  </si>
  <si>
    <t>Haul Wheat</t>
  </si>
  <si>
    <t>Crop Share Lease</t>
  </si>
  <si>
    <r>
      <t>Axial XL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</si>
  <si>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Harmony Extra XP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</si>
  <si>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Quilt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</si>
  <si>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3, 5</t>
    </r>
  </si>
  <si>
    <t>Wheat Consultant</t>
  </si>
  <si>
    <t>Wheat Crop Insurance</t>
  </si>
  <si>
    <t>Check Off, Boards</t>
  </si>
  <si>
    <t>Farm Overhead</t>
  </si>
  <si>
    <t>REVENUE</t>
  </si>
  <si>
    <t>TOTAL REVENUE</t>
  </si>
  <si>
    <t>OPERATING COSTS</t>
  </si>
  <si>
    <t>TOTAL OPERATING COSTS</t>
  </si>
  <si>
    <t>RETURNS ABOVE OPERATING COSTS</t>
  </si>
  <si>
    <t>FIXED COSTS</t>
  </si>
  <si>
    <t>TOTAL FIXED COSTS</t>
  </si>
  <si>
    <t>TOTAL COSTS</t>
  </si>
  <si>
    <t>RETURNS ABOVE 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</si>
</sst>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90000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5" fillId="0" borderId="0" xfId="0" applyFont="1"/>
    <xf numFmtId="0" fontId="7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4" fillId="0" borderId="0" xfId="1" applyFont="1"/>
    <xf numFmtId="44" fontId="2" fillId="0" borderId="0" xfId="1" applyFont="1"/>
    <xf numFmtId="44" fontId="2" fillId="0" borderId="0" xfId="0" applyNumberFormat="1" applyFont="1"/>
    <xf numFmtId="44" fontId="5" fillId="0" borderId="0" xfId="0" applyNumberFormat="1" applyFont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urrency" xfId="1" builtinId="4"/>
    <cellStyle name="Hyperlink 2" xfId="4" xr:uid="{91670022-DAA1-4D4A-BE84-59C8A63F2C60}"/>
    <cellStyle name="Normal" xfId="0" builtinId="0"/>
    <cellStyle name="Normal 2" xfId="2" xr:uid="{7F815CE7-D695-4C0A-8D2B-F4CD3FE460F1}"/>
    <cellStyle name="Normal 4" xfId="3" xr:uid="{3519416C-AE6B-489E-A8AB-CA299E679D30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System Division of Agriculture Research and Extension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85725</xdr:rowOff>
    </xdr:from>
    <xdr:to>
      <xdr:col>1</xdr:col>
      <xdr:colOff>326010</xdr:colOff>
      <xdr:row>2</xdr:row>
      <xdr:rowOff>66675</xdr:rowOff>
    </xdr:to>
    <xdr:pic>
      <xdr:nvPicPr>
        <xdr:cNvPr id="6" name="Picture 5" descr="Arkansas Corn and Grain Sorghum Board Logo">
          <a:extLst>
            <a:ext uri="{FF2B5EF4-FFF2-40B4-BE49-F238E27FC236}">
              <a16:creationId xmlns:a16="http://schemas.microsoft.com/office/drawing/2014/main" id="{FAA02FBB-10F6-AB8B-9E1F-E26A0E3C1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1773810" cy="457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67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9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0" ht="18" x14ac:dyDescent="0.55000000000000004">
      <c r="A1" s="28" t="s">
        <v>41</v>
      </c>
      <c r="B1" s="28"/>
      <c r="C1" s="28"/>
      <c r="D1" s="28"/>
      <c r="E1" s="28"/>
      <c r="F1" s="28"/>
      <c r="G1" s="28"/>
      <c r="H1" s="28"/>
      <c r="I1" s="18"/>
    </row>
    <row r="2" spans="1:10" ht="18" x14ac:dyDescent="0.55000000000000004">
      <c r="A2" s="29" t="s">
        <v>44</v>
      </c>
      <c r="B2" s="29"/>
      <c r="C2" s="29"/>
      <c r="D2" s="29"/>
      <c r="E2" s="29"/>
      <c r="F2" s="29"/>
      <c r="G2" s="29"/>
      <c r="H2" s="29"/>
      <c r="I2" s="18"/>
    </row>
    <row r="3" spans="1:10" ht="18.399999999999999" thickBot="1" x14ac:dyDescent="0.6">
      <c r="A3" s="30" t="s">
        <v>45</v>
      </c>
      <c r="B3" s="30"/>
      <c r="C3" s="30"/>
      <c r="D3" s="30"/>
      <c r="E3" s="30"/>
      <c r="F3" s="30"/>
      <c r="G3" s="30"/>
      <c r="H3" s="30"/>
      <c r="I3" s="18"/>
    </row>
    <row r="4" spans="1:10" ht="14.65" thickTop="1" x14ac:dyDescent="0.45">
      <c r="A4" s="1"/>
      <c r="B4" s="1"/>
      <c r="C4" s="2"/>
      <c r="D4" s="1"/>
      <c r="E4" s="2"/>
      <c r="F4" s="31" t="s">
        <v>0</v>
      </c>
      <c r="G4" s="31"/>
      <c r="H4" s="3" t="s">
        <v>1</v>
      </c>
      <c r="I4" s="3"/>
    </row>
    <row r="5" spans="1:10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0" x14ac:dyDescent="0.45">
      <c r="A6" s="7" t="s">
        <v>65</v>
      </c>
    </row>
    <row r="7" spans="1:10" x14ac:dyDescent="0.45">
      <c r="A7" s="9" t="s">
        <v>46</v>
      </c>
      <c r="B7" s="9" t="s">
        <v>9</v>
      </c>
      <c r="C7" s="10">
        <v>5.7</v>
      </c>
      <c r="D7" s="9">
        <v>70</v>
      </c>
      <c r="E7" s="2">
        <f>ROUND(C7*D7,2)</f>
        <v>399</v>
      </c>
      <c r="F7" s="11">
        <v>0.25</v>
      </c>
      <c r="G7" s="2">
        <f>ROUND(E7*F7,2)</f>
        <v>99.75</v>
      </c>
      <c r="H7" s="2">
        <f>ROUND(E7-G7,2)</f>
        <v>299.25</v>
      </c>
      <c r="I7" s="19"/>
    </row>
    <row r="8" spans="1:10" x14ac:dyDescent="0.45">
      <c r="A8" s="7" t="s">
        <v>66</v>
      </c>
      <c r="E8" s="8">
        <f>SUM(E7:E7)</f>
        <v>399</v>
      </c>
      <c r="G8" s="12">
        <f>SUM(G7:G7)</f>
        <v>99.75</v>
      </c>
      <c r="H8" s="12">
        <f>ROUND(E8-G8,2)</f>
        <v>299.25</v>
      </c>
      <c r="I8" s="12"/>
    </row>
    <row r="9" spans="1:10" ht="7.5" customHeight="1" x14ac:dyDescent="0.45">
      <c r="A9" t="s">
        <v>10</v>
      </c>
    </row>
    <row r="10" spans="1:10" x14ac:dyDescent="0.45">
      <c r="A10" s="7" t="s">
        <v>67</v>
      </c>
    </row>
    <row r="11" spans="1:10" x14ac:dyDescent="0.45">
      <c r="A11" s="13" t="s">
        <v>36</v>
      </c>
    </row>
    <row r="12" spans="1:10" x14ac:dyDescent="0.45">
      <c r="A12" s="14" t="s">
        <v>56</v>
      </c>
      <c r="B12" s="14" t="s">
        <v>22</v>
      </c>
      <c r="C12" s="15"/>
      <c r="D12" s="14"/>
      <c r="E12" s="8">
        <f>G8</f>
        <v>99.75</v>
      </c>
      <c r="F12" s="16"/>
      <c r="G12" s="8"/>
      <c r="H12" s="8">
        <f>E12</f>
        <v>99.75</v>
      </c>
    </row>
    <row r="13" spans="1:10" x14ac:dyDescent="0.45">
      <c r="A13" s="13" t="s">
        <v>18</v>
      </c>
    </row>
    <row r="14" spans="1:10" x14ac:dyDescent="0.45">
      <c r="A14" s="14" t="s">
        <v>40</v>
      </c>
      <c r="B14" s="14" t="s">
        <v>31</v>
      </c>
      <c r="C14" s="15">
        <v>0.4</v>
      </c>
      <c r="D14" s="14">
        <v>100</v>
      </c>
      <c r="E14" s="8">
        <f>ROUND(C14*D14,2)</f>
        <v>40</v>
      </c>
      <c r="F14" s="16">
        <v>0</v>
      </c>
      <c r="G14" s="8">
        <f>ROUND(E14*F14,2)</f>
        <v>0</v>
      </c>
      <c r="H14" s="8">
        <f>ROUND(E14-G14,2)</f>
        <v>40</v>
      </c>
      <c r="I14" s="8"/>
    </row>
    <row r="15" spans="1:10" x14ac:dyDescent="0.45">
      <c r="A15" s="13" t="s">
        <v>32</v>
      </c>
    </row>
    <row r="16" spans="1:10" ht="15.75" x14ac:dyDescent="0.45">
      <c r="A16" s="14" t="s">
        <v>52</v>
      </c>
      <c r="B16" s="14" t="s">
        <v>11</v>
      </c>
      <c r="C16" s="15">
        <v>8.5</v>
      </c>
      <c r="D16" s="14">
        <v>4</v>
      </c>
      <c r="E16" s="8">
        <f>ROUND(C16*D16,2)</f>
        <v>34</v>
      </c>
      <c r="F16" s="16">
        <v>0</v>
      </c>
      <c r="G16" s="8">
        <f>ROUND(E16*F16,2)</f>
        <v>0</v>
      </c>
      <c r="H16" s="8">
        <f>ROUND(E16-G16,2)</f>
        <v>34</v>
      </c>
      <c r="I16" s="8"/>
      <c r="J16" s="17"/>
    </row>
    <row r="17" spans="1:11" ht="15.75" x14ac:dyDescent="0.45">
      <c r="A17" s="14" t="s">
        <v>42</v>
      </c>
      <c r="B17" s="14" t="s">
        <v>11</v>
      </c>
      <c r="C17" s="15">
        <v>10</v>
      </c>
      <c r="D17" s="14">
        <v>1</v>
      </c>
      <c r="E17" s="8">
        <f>ROUND(C17*D17,2)</f>
        <v>10</v>
      </c>
      <c r="F17" s="16">
        <v>0</v>
      </c>
      <c r="G17" s="8">
        <f>ROUND(E17*F17,2)</f>
        <v>0</v>
      </c>
      <c r="H17" s="8">
        <f>ROUND(E17-G17,2)</f>
        <v>10</v>
      </c>
      <c r="I17" s="8"/>
      <c r="J17" s="17"/>
    </row>
    <row r="18" spans="1:11" ht="15.75" x14ac:dyDescent="0.45">
      <c r="A18" s="14" t="s">
        <v>53</v>
      </c>
      <c r="B18" s="14" t="s">
        <v>31</v>
      </c>
      <c r="C18" s="20">
        <v>0.1</v>
      </c>
      <c r="D18" s="14">
        <v>100</v>
      </c>
      <c r="E18" s="8">
        <f>FLOOR((C18*D18), 10)</f>
        <v>10</v>
      </c>
      <c r="F18" s="16">
        <v>0</v>
      </c>
      <c r="G18" s="8">
        <f>ROUND(E18*F18,2)</f>
        <v>0</v>
      </c>
      <c r="H18" s="8">
        <f>ROUND(E18-G18,2)</f>
        <v>10</v>
      </c>
      <c r="I18" s="8"/>
      <c r="J18" s="26"/>
    </row>
    <row r="19" spans="1:11" x14ac:dyDescent="0.45">
      <c r="A19" s="13" t="s">
        <v>12</v>
      </c>
    </row>
    <row r="20" spans="1:11" ht="15.75" x14ac:dyDescent="0.45">
      <c r="A20" s="14" t="s">
        <v>47</v>
      </c>
      <c r="B20" s="14" t="s">
        <v>31</v>
      </c>
      <c r="C20" s="15">
        <f>690/2000</f>
        <v>0.34499999999999997</v>
      </c>
      <c r="D20" s="14">
        <v>110</v>
      </c>
      <c r="E20" s="8">
        <f>ROUND(C20*D20,2)</f>
        <v>37.950000000000003</v>
      </c>
      <c r="F20" s="16">
        <v>0</v>
      </c>
      <c r="G20" s="8">
        <f>ROUND(E20*F20,2)</f>
        <v>0</v>
      </c>
      <c r="H20" s="8">
        <f>ROUND(E20-G20,2)</f>
        <v>37.950000000000003</v>
      </c>
      <c r="I20" s="8"/>
    </row>
    <row r="21" spans="1:11" ht="15.75" x14ac:dyDescent="0.45">
      <c r="A21" s="14" t="s">
        <v>48</v>
      </c>
      <c r="B21" s="14" t="s">
        <v>31</v>
      </c>
      <c r="C21" s="15">
        <f>500/2000</f>
        <v>0.25</v>
      </c>
      <c r="D21" s="14">
        <v>100</v>
      </c>
      <c r="E21" s="8">
        <f>ROUND(C21*D21,2)</f>
        <v>25</v>
      </c>
      <c r="F21" s="16">
        <v>0</v>
      </c>
      <c r="G21" s="8">
        <f>ROUND(E21*F21,2)</f>
        <v>0</v>
      </c>
      <c r="H21" s="8">
        <f>ROUND(E21-G21,2)</f>
        <v>25</v>
      </c>
      <c r="I21" s="8"/>
    </row>
    <row r="22" spans="1:11" ht="15.75" x14ac:dyDescent="0.45">
      <c r="A22" s="14" t="s">
        <v>60</v>
      </c>
      <c r="B22" s="14" t="s">
        <v>31</v>
      </c>
      <c r="C22" s="15">
        <f>515/2000</f>
        <v>0.25750000000000001</v>
      </c>
      <c r="D22" s="14">
        <v>240</v>
      </c>
      <c r="E22" s="8">
        <f>ROUND(C22*D22,2)</f>
        <v>61.8</v>
      </c>
      <c r="F22" s="16">
        <v>0</v>
      </c>
      <c r="G22" s="8">
        <f>ROUND(E22*F22,2)</f>
        <v>0</v>
      </c>
      <c r="H22" s="8">
        <f>ROUND(E22-G22,2)</f>
        <v>61.8</v>
      </c>
      <c r="I22" s="8"/>
    </row>
    <row r="23" spans="1:11" ht="15.75" x14ac:dyDescent="0.45">
      <c r="A23" s="14" t="s">
        <v>51</v>
      </c>
      <c r="B23" s="14" t="s">
        <v>31</v>
      </c>
      <c r="C23" s="15">
        <f>(520/2000)</f>
        <v>0.26</v>
      </c>
      <c r="D23" s="14">
        <v>50</v>
      </c>
      <c r="E23" s="8">
        <f>ROUND(C23*D23,2)</f>
        <v>13</v>
      </c>
      <c r="F23" s="16">
        <v>0</v>
      </c>
      <c r="G23" s="8">
        <f>ROUND(E23*F23,2)</f>
        <v>0</v>
      </c>
      <c r="H23" s="8">
        <f>ROUND(E23-G23,2)</f>
        <v>13</v>
      </c>
      <c r="I23" s="8"/>
    </row>
    <row r="24" spans="1:11" x14ac:dyDescent="0.45">
      <c r="A24" s="13" t="s">
        <v>16</v>
      </c>
    </row>
    <row r="25" spans="1:11" ht="15.75" x14ac:dyDescent="0.45">
      <c r="A25" s="14" t="s">
        <v>49</v>
      </c>
      <c r="B25" s="14" t="s">
        <v>15</v>
      </c>
      <c r="C25" s="15">
        <v>5.7421875</v>
      </c>
      <c r="D25" s="14">
        <v>3</v>
      </c>
      <c r="E25" s="8">
        <f t="shared" ref="E25:E28" si="0">ROUND(C25*D25,2)</f>
        <v>17.23</v>
      </c>
      <c r="F25" s="16">
        <v>0</v>
      </c>
      <c r="G25" s="8">
        <f t="shared" ref="G25:G28" si="1">ROUND(E25*F25,2)</f>
        <v>0</v>
      </c>
      <c r="H25" s="8">
        <f t="shared" ref="H25:H28" si="2">ROUND(E25-G25,2)</f>
        <v>17.23</v>
      </c>
      <c r="I25" s="8"/>
      <c r="J25" s="12"/>
    </row>
    <row r="26" spans="1:11" ht="15.75" x14ac:dyDescent="0.45">
      <c r="A26" s="14" t="s">
        <v>50</v>
      </c>
      <c r="B26" s="14" t="s">
        <v>15</v>
      </c>
      <c r="C26" s="15">
        <v>0.234375</v>
      </c>
      <c r="D26" s="14">
        <v>40</v>
      </c>
      <c r="E26" s="8">
        <f t="shared" si="0"/>
        <v>9.3800000000000008</v>
      </c>
      <c r="F26" s="16">
        <v>0</v>
      </c>
      <c r="G26" s="8">
        <f t="shared" si="1"/>
        <v>0</v>
      </c>
      <c r="H26" s="8">
        <f t="shared" si="2"/>
        <v>9.3800000000000008</v>
      </c>
      <c r="I26" s="8"/>
    </row>
    <row r="27" spans="1:11" ht="15.75" x14ac:dyDescent="0.45">
      <c r="A27" s="14" t="s">
        <v>57</v>
      </c>
      <c r="B27" s="14" t="s">
        <v>15</v>
      </c>
      <c r="C27" s="15">
        <v>0.41249999999999998</v>
      </c>
      <c r="D27" s="14">
        <v>15</v>
      </c>
      <c r="E27" s="8">
        <f t="shared" si="0"/>
        <v>6.19</v>
      </c>
      <c r="F27" s="16">
        <v>0</v>
      </c>
      <c r="G27" s="8">
        <f t="shared" si="1"/>
        <v>0</v>
      </c>
      <c r="H27" s="8">
        <f t="shared" si="2"/>
        <v>6.19</v>
      </c>
      <c r="I27" s="8"/>
    </row>
    <row r="28" spans="1:11" ht="15.75" x14ac:dyDescent="0.45">
      <c r="A28" s="14" t="s">
        <v>58</v>
      </c>
      <c r="B28" s="14" t="s">
        <v>13</v>
      </c>
      <c r="C28" s="15">
        <v>13.5</v>
      </c>
      <c r="D28" s="14">
        <v>0.9</v>
      </c>
      <c r="E28" s="8">
        <f t="shared" si="0"/>
        <v>12.15</v>
      </c>
      <c r="F28" s="16">
        <v>0</v>
      </c>
      <c r="G28" s="8">
        <f t="shared" si="1"/>
        <v>0</v>
      </c>
      <c r="H28" s="8">
        <f t="shared" si="2"/>
        <v>12.15</v>
      </c>
      <c r="I28" s="8"/>
    </row>
    <row r="29" spans="1:11" x14ac:dyDescent="0.45">
      <c r="A29" s="13" t="s">
        <v>17</v>
      </c>
    </row>
    <row r="30" spans="1:11" x14ac:dyDescent="0.45">
      <c r="A30" s="13" t="s">
        <v>14</v>
      </c>
    </row>
    <row r="31" spans="1:11" ht="15.75" x14ac:dyDescent="0.45">
      <c r="A31" s="14" t="s">
        <v>59</v>
      </c>
      <c r="B31" s="14" t="s">
        <v>15</v>
      </c>
      <c r="C31" s="15">
        <v>0.25</v>
      </c>
      <c r="D31" s="14">
        <v>14</v>
      </c>
      <c r="E31" s="8">
        <f t="shared" ref="E31" si="3">ROUND(C31*D31,2)</f>
        <v>3.5</v>
      </c>
      <c r="F31" s="16">
        <v>0</v>
      </c>
      <c r="G31" s="8">
        <f t="shared" ref="G31" si="4">ROUND(E31*F31,2)</f>
        <v>0</v>
      </c>
      <c r="H31" s="8">
        <f t="shared" ref="H31" si="5">ROUND(E31-G31,2)</f>
        <v>3.5</v>
      </c>
    </row>
    <row r="32" spans="1:11" x14ac:dyDescent="0.45">
      <c r="A32" s="13" t="s">
        <v>19</v>
      </c>
    </row>
    <row r="33" spans="1:9" x14ac:dyDescent="0.45">
      <c r="A33" s="14" t="s">
        <v>54</v>
      </c>
      <c r="B33" s="14" t="s">
        <v>15</v>
      </c>
      <c r="C33" s="15">
        <v>0.41249999999999998</v>
      </c>
      <c r="D33" s="14">
        <v>3.2</v>
      </c>
      <c r="E33" s="8">
        <f t="shared" ref="E33" si="6">ROUND(C33*D33,2)</f>
        <v>1.32</v>
      </c>
      <c r="F33" s="16">
        <v>0</v>
      </c>
      <c r="G33" s="8">
        <f t="shared" ref="G33" si="7">ROUND(E33*F33,2)</f>
        <v>0</v>
      </c>
      <c r="H33" s="8">
        <f t="shared" ref="H33" si="8">ROUND(E33-G33,2)</f>
        <v>1.32</v>
      </c>
    </row>
    <row r="34" spans="1:9" x14ac:dyDescent="0.45">
      <c r="A34" s="13" t="s">
        <v>20</v>
      </c>
    </row>
    <row r="35" spans="1:9" x14ac:dyDescent="0.45">
      <c r="A35" s="14" t="s">
        <v>55</v>
      </c>
      <c r="B35" s="14" t="s">
        <v>9</v>
      </c>
      <c r="C35" s="15">
        <v>0.25</v>
      </c>
      <c r="D35" s="14">
        <f>D7</f>
        <v>70</v>
      </c>
      <c r="E35" s="8">
        <f>ROUND(C35*D35,2)</f>
        <v>17.5</v>
      </c>
      <c r="F35" s="16">
        <v>0</v>
      </c>
      <c r="G35" s="8">
        <f>ROUND(E35*F35,2)</f>
        <v>0</v>
      </c>
      <c r="H35" s="8">
        <f>ROUND(E35-G35,2)</f>
        <v>17.5</v>
      </c>
      <c r="I35" s="8"/>
    </row>
    <row r="36" spans="1:9" x14ac:dyDescent="0.45">
      <c r="A36" s="13" t="s">
        <v>21</v>
      </c>
    </row>
    <row r="37" spans="1:9" x14ac:dyDescent="0.45">
      <c r="A37" s="13" t="s">
        <v>33</v>
      </c>
    </row>
    <row r="38" spans="1:9" x14ac:dyDescent="0.45">
      <c r="A38" s="14" t="s">
        <v>61</v>
      </c>
      <c r="B38" s="14" t="s">
        <v>22</v>
      </c>
      <c r="C38" s="15">
        <v>5</v>
      </c>
      <c r="D38" s="14">
        <v>1</v>
      </c>
      <c r="E38" s="8">
        <f>ROUND(C38*D38,2)</f>
        <v>5</v>
      </c>
      <c r="F38" s="16">
        <v>0</v>
      </c>
      <c r="G38" s="8">
        <f>ROUND(E38*F38,2)</f>
        <v>0</v>
      </c>
      <c r="H38" s="8">
        <f>ROUND(E38-G38,2)</f>
        <v>5</v>
      </c>
      <c r="I38" s="8"/>
    </row>
    <row r="39" spans="1:9" x14ac:dyDescent="0.45">
      <c r="A39" s="13" t="s">
        <v>35</v>
      </c>
      <c r="I39" s="8"/>
    </row>
    <row r="40" spans="1:9" x14ac:dyDescent="0.45">
      <c r="A40" s="14" t="s">
        <v>62</v>
      </c>
      <c r="B40" s="14" t="s">
        <v>22</v>
      </c>
      <c r="C40" s="15">
        <v>27</v>
      </c>
      <c r="D40" s="14">
        <v>1</v>
      </c>
      <c r="E40" s="8">
        <f>ROUND(C40*D40,2)</f>
        <v>27</v>
      </c>
      <c r="F40" s="16">
        <v>0</v>
      </c>
      <c r="G40" s="8">
        <f>ROUND(E40*F40,2)</f>
        <v>0</v>
      </c>
      <c r="H40" s="8">
        <f>ROUND(E40-G40,2)</f>
        <v>27</v>
      </c>
      <c r="I40" s="8"/>
    </row>
    <row r="41" spans="1:9" x14ac:dyDescent="0.45">
      <c r="A41" s="13" t="s">
        <v>23</v>
      </c>
    </row>
    <row r="42" spans="1:9" x14ac:dyDescent="0.45">
      <c r="A42" s="14" t="s">
        <v>24</v>
      </c>
      <c r="B42" s="14" t="s">
        <v>25</v>
      </c>
      <c r="C42" s="15">
        <v>14.53</v>
      </c>
      <c r="D42" s="21">
        <f>3.56/14.53</f>
        <v>0.24501032346868548</v>
      </c>
      <c r="E42" s="8">
        <f>ROUND(C42*D42,2)</f>
        <v>3.56</v>
      </c>
      <c r="F42" s="16">
        <v>0</v>
      </c>
      <c r="G42" s="8">
        <f>ROUND(E42*F42,2)</f>
        <v>0</v>
      </c>
      <c r="H42" s="8">
        <f>ROUND(E42-G42,2)</f>
        <v>3.56</v>
      </c>
      <c r="I42" s="8"/>
    </row>
    <row r="43" spans="1:9" x14ac:dyDescent="0.45">
      <c r="A43" s="14" t="s">
        <v>26</v>
      </c>
      <c r="B43" s="14" t="s">
        <v>25</v>
      </c>
      <c r="C43" s="15">
        <v>14.53</v>
      </c>
      <c r="D43" s="21">
        <f>3.62/14.53</f>
        <v>0.24913971094287682</v>
      </c>
      <c r="E43" s="8">
        <f>ROUND(C43*D43,2)</f>
        <v>3.62</v>
      </c>
      <c r="F43" s="16">
        <v>0</v>
      </c>
      <c r="G43" s="8">
        <f>ROUND(E43*F43,2)</f>
        <v>0</v>
      </c>
      <c r="H43" s="8">
        <f>ROUND(E43-G43,2)</f>
        <v>3.62</v>
      </c>
      <c r="I43" s="8"/>
    </row>
    <row r="44" spans="1:9" x14ac:dyDescent="0.45">
      <c r="A44" s="13" t="s">
        <v>27</v>
      </c>
      <c r="I44" s="8"/>
    </row>
    <row r="45" spans="1:9" x14ac:dyDescent="0.45">
      <c r="A45" s="14" t="s">
        <v>24</v>
      </c>
      <c r="B45" s="14" t="s">
        <v>28</v>
      </c>
      <c r="C45" s="15">
        <v>2.8</v>
      </c>
      <c r="D45" s="22">
        <f>6.23/2.8</f>
        <v>2.2250000000000001</v>
      </c>
      <c r="E45" s="8">
        <f>ROUND(C45*D45,2)</f>
        <v>6.23</v>
      </c>
      <c r="F45" s="16">
        <v>0</v>
      </c>
      <c r="G45" s="8">
        <f>ROUND(E45*F45,2)</f>
        <v>0</v>
      </c>
      <c r="H45" s="8">
        <f>ROUND(E45-G45,2)</f>
        <v>6.23</v>
      </c>
      <c r="I45" s="8"/>
    </row>
    <row r="46" spans="1:9" x14ac:dyDescent="0.45">
      <c r="A46" s="14" t="s">
        <v>26</v>
      </c>
      <c r="B46" s="14" t="s">
        <v>28</v>
      </c>
      <c r="C46" s="15">
        <v>2.8</v>
      </c>
      <c r="D46" s="22">
        <f>7.19/2.8</f>
        <v>2.5678571428571431</v>
      </c>
      <c r="E46" s="8">
        <f>ROUND(C46*D46,2)</f>
        <v>7.19</v>
      </c>
      <c r="F46" s="16">
        <v>0</v>
      </c>
      <c r="G46" s="8">
        <f>ROUND(E46*F46,2)</f>
        <v>0</v>
      </c>
      <c r="H46" s="8">
        <f>ROUND(E46-G46,2)</f>
        <v>7.19</v>
      </c>
    </row>
    <row r="47" spans="1:9" x14ac:dyDescent="0.45">
      <c r="A47" s="13" t="s">
        <v>29</v>
      </c>
      <c r="I47" s="8"/>
    </row>
    <row r="48" spans="1:9" x14ac:dyDescent="0.45">
      <c r="A48" s="14" t="s">
        <v>38</v>
      </c>
      <c r="B48" s="14" t="s">
        <v>22</v>
      </c>
      <c r="C48" s="15">
        <v>6.72</v>
      </c>
      <c r="D48" s="14">
        <v>1</v>
      </c>
      <c r="E48" s="8">
        <f>ROUND(C48*D48,2)</f>
        <v>6.72</v>
      </c>
      <c r="F48" s="16">
        <v>0</v>
      </c>
      <c r="G48" s="8">
        <f>ROUND(E48*F48,2)</f>
        <v>0</v>
      </c>
      <c r="H48" s="8">
        <f t="shared" ref="H48:H53" si="9">ROUND(E48-G48,2)</f>
        <v>6.72</v>
      </c>
      <c r="I48" s="8"/>
    </row>
    <row r="49" spans="1:9" x14ac:dyDescent="0.45">
      <c r="A49" s="14" t="s">
        <v>26</v>
      </c>
      <c r="B49" s="14" t="s">
        <v>22</v>
      </c>
      <c r="C49" s="15">
        <v>8.76</v>
      </c>
      <c r="D49" s="14">
        <v>1</v>
      </c>
      <c r="E49" s="8">
        <f>ROUND(C49*D49,2)</f>
        <v>8.76</v>
      </c>
      <c r="F49" s="16">
        <v>0</v>
      </c>
      <c r="G49" s="8">
        <f>ROUND(E49*F49,2)</f>
        <v>0</v>
      </c>
      <c r="H49" s="8">
        <f t="shared" si="9"/>
        <v>8.76</v>
      </c>
      <c r="I49" s="19"/>
    </row>
    <row r="50" spans="1:9" x14ac:dyDescent="0.45">
      <c r="A50" s="14" t="s">
        <v>63</v>
      </c>
      <c r="B50" s="14" t="s">
        <v>9</v>
      </c>
      <c r="C50" s="15">
        <v>0.01</v>
      </c>
      <c r="D50" s="14">
        <f>D7</f>
        <v>70</v>
      </c>
      <c r="E50" s="8">
        <f>ROUND(C50*D50,2)</f>
        <v>0.7</v>
      </c>
      <c r="F50" s="16">
        <v>0</v>
      </c>
      <c r="G50" s="8">
        <f>ROUND(E50*F50,2)</f>
        <v>0</v>
      </c>
      <c r="H50" s="8">
        <f t="shared" ref="H50" si="10">ROUND(E50-G50,2)</f>
        <v>0.7</v>
      </c>
      <c r="I50" s="19"/>
    </row>
    <row r="51" spans="1:9" ht="15" customHeight="1" x14ac:dyDescent="0.45">
      <c r="A51" s="9" t="s">
        <v>30</v>
      </c>
      <c r="B51" s="9" t="s">
        <v>22</v>
      </c>
      <c r="C51" s="10">
        <v>15.73</v>
      </c>
      <c r="D51" s="9">
        <v>1</v>
      </c>
      <c r="E51" s="2">
        <f>ROUND(C51*D51,2)</f>
        <v>15.73</v>
      </c>
      <c r="F51" s="11">
        <v>0</v>
      </c>
      <c r="G51" s="2">
        <f>ROUND(E51*F51,2)</f>
        <v>0</v>
      </c>
      <c r="H51" s="2">
        <f t="shared" si="9"/>
        <v>15.73</v>
      </c>
      <c r="I51" s="12"/>
    </row>
    <row r="52" spans="1:9" x14ac:dyDescent="0.45">
      <c r="A52" s="7" t="s">
        <v>68</v>
      </c>
      <c r="E52" s="8">
        <f>SUM(E14:E51)</f>
        <v>383.53000000000003</v>
      </c>
      <c r="G52" s="12">
        <f>SUM(G16:G51)</f>
        <v>0</v>
      </c>
      <c r="H52" s="12">
        <f t="shared" si="9"/>
        <v>383.53</v>
      </c>
    </row>
    <row r="53" spans="1:9" x14ac:dyDescent="0.45">
      <c r="A53" s="7" t="s">
        <v>69</v>
      </c>
      <c r="E53" s="8">
        <f>+E8-E52</f>
        <v>15.46999999999997</v>
      </c>
      <c r="G53" s="12">
        <f>+G8-G52</f>
        <v>99.75</v>
      </c>
      <c r="H53" s="12">
        <f t="shared" si="9"/>
        <v>-84.28</v>
      </c>
    </row>
    <row r="54" spans="1:9" ht="6.75" customHeight="1" x14ac:dyDescent="0.45">
      <c r="A54" t="s">
        <v>10</v>
      </c>
      <c r="I54" s="8"/>
    </row>
    <row r="55" spans="1:9" x14ac:dyDescent="0.45">
      <c r="A55" s="7" t="s">
        <v>70</v>
      </c>
      <c r="I55" s="8"/>
    </row>
    <row r="56" spans="1:9" x14ac:dyDescent="0.45">
      <c r="A56" s="14" t="s">
        <v>34</v>
      </c>
      <c r="B56" s="14" t="s">
        <v>22</v>
      </c>
      <c r="C56" s="15">
        <v>33.07</v>
      </c>
      <c r="D56" s="14">
        <v>1</v>
      </c>
      <c r="E56" s="8">
        <f>ROUND(C56*D56,2)</f>
        <v>33.07</v>
      </c>
      <c r="F56" s="16">
        <v>0</v>
      </c>
      <c r="G56" s="8">
        <f>ROUND(E56*F56,2)</f>
        <v>0</v>
      </c>
      <c r="H56" s="8">
        <f t="shared" ref="H56:H61" si="11">ROUND(E56-G56,2)</f>
        <v>33.07</v>
      </c>
      <c r="I56" s="19"/>
    </row>
    <row r="57" spans="1:9" x14ac:dyDescent="0.45">
      <c r="A57" s="14" t="s">
        <v>26</v>
      </c>
      <c r="B57" s="14" t="s">
        <v>22</v>
      </c>
      <c r="C57" s="15">
        <v>41.06</v>
      </c>
      <c r="D57" s="14">
        <v>1</v>
      </c>
      <c r="E57" s="8">
        <f>ROUND(C57*D57,2)</f>
        <v>41.06</v>
      </c>
      <c r="F57" s="16">
        <v>0</v>
      </c>
      <c r="G57" s="8">
        <f>ROUND(E57*F57,2)</f>
        <v>0</v>
      </c>
      <c r="H57" s="8">
        <f t="shared" si="11"/>
        <v>41.06</v>
      </c>
      <c r="I57" s="12"/>
    </row>
    <row r="58" spans="1:9" x14ac:dyDescent="0.45">
      <c r="A58" s="14" t="s">
        <v>64</v>
      </c>
      <c r="B58" s="14" t="s">
        <v>22</v>
      </c>
      <c r="C58" s="15">
        <v>3.71</v>
      </c>
      <c r="D58" s="14">
        <v>1</v>
      </c>
      <c r="E58" s="8">
        <f>ROUND(C58*D58,2)</f>
        <v>3.71</v>
      </c>
      <c r="F58" s="16">
        <v>0</v>
      </c>
      <c r="G58" s="8">
        <f>ROUND(E58*F58,2)</f>
        <v>0</v>
      </c>
      <c r="H58" s="8">
        <f t="shared" ref="H58" si="12">ROUND(E58-G58,2)</f>
        <v>3.71</v>
      </c>
      <c r="I58" s="12"/>
    </row>
    <row r="59" spans="1:9" x14ac:dyDescent="0.45">
      <c r="A59" s="7" t="s">
        <v>71</v>
      </c>
      <c r="E59" s="8">
        <f>SUM(E56:E58)</f>
        <v>77.839999999999989</v>
      </c>
      <c r="G59" s="12">
        <f>SUM(G56:G57)</f>
        <v>0</v>
      </c>
      <c r="H59" s="12">
        <f t="shared" si="11"/>
        <v>77.84</v>
      </c>
      <c r="I59" s="12"/>
    </row>
    <row r="60" spans="1:9" x14ac:dyDescent="0.45">
      <c r="A60" s="7" t="s">
        <v>72</v>
      </c>
      <c r="E60" s="8">
        <f>+E52+E59</f>
        <v>461.37</v>
      </c>
      <c r="G60" s="12">
        <f>+G52+G59</f>
        <v>0</v>
      </c>
      <c r="H60" s="12">
        <f t="shared" si="11"/>
        <v>461.37</v>
      </c>
    </row>
    <row r="61" spans="1:9" x14ac:dyDescent="0.45">
      <c r="A61" s="7" t="s">
        <v>73</v>
      </c>
      <c r="E61" s="24">
        <f>+E8-E60</f>
        <v>-62.370000000000005</v>
      </c>
      <c r="G61" s="12">
        <f>+G8-G60</f>
        <v>99.75</v>
      </c>
      <c r="H61" s="25">
        <f t="shared" si="11"/>
        <v>-162.12</v>
      </c>
    </row>
    <row r="62" spans="1:9" ht="8.25" customHeight="1" x14ac:dyDescent="0.45">
      <c r="A62" t="s">
        <v>39</v>
      </c>
    </row>
    <row r="63" spans="1:9" x14ac:dyDescent="0.45">
      <c r="A63" s="13" t="s">
        <v>37</v>
      </c>
      <c r="B63" s="13"/>
      <c r="C63" s="23"/>
      <c r="D63" s="13"/>
      <c r="E63" s="23"/>
      <c r="F63" s="13"/>
    </row>
    <row r="64" spans="1:9" ht="14.25" customHeight="1" x14ac:dyDescent="0.45">
      <c r="A64" s="27" t="s">
        <v>43</v>
      </c>
      <c r="B64" s="27"/>
      <c r="C64" s="27"/>
      <c r="D64" s="27"/>
      <c r="E64" s="27"/>
      <c r="F64" s="27"/>
      <c r="G64" s="27"/>
      <c r="H64" s="27"/>
    </row>
    <row r="65" spans="1:8" x14ac:dyDescent="0.45">
      <c r="A65" s="27"/>
      <c r="B65" s="27"/>
      <c r="C65" s="27"/>
      <c r="D65" s="27"/>
      <c r="E65" s="27"/>
      <c r="F65" s="27"/>
      <c r="G65" s="27"/>
      <c r="H65" s="27"/>
    </row>
    <row r="66" spans="1:8" x14ac:dyDescent="0.45">
      <c r="A66" s="27"/>
      <c r="B66" s="27"/>
      <c r="C66" s="27"/>
      <c r="D66" s="27"/>
      <c r="E66" s="27"/>
      <c r="F66" s="27"/>
      <c r="G66" s="27"/>
      <c r="H66" s="27"/>
    </row>
    <row r="67" spans="1:8" x14ac:dyDescent="0.45">
      <c r="A67" s="7"/>
    </row>
  </sheetData>
  <mergeCells count="4"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2024-12-19T02:55:59Z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