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6E2E3C4-A9C4-457E-929C-604B707A2ECB}" xr6:coauthVersionLast="47" xr6:coauthVersionMax="47" xr10:uidLastSave="{00000000-0000-0000-0000-000000000000}"/>
  <bookViews>
    <workbookView xWindow="28680" yWindow="-120" windowWidth="29040" windowHeight="15720" firstSheet="3" activeTab="3" xr2:uid="{00000000-000D-0000-FFFF-FFFF00000000}"/>
  </bookViews>
  <sheets>
    <sheet name="GP_ShareRent" sheetId="22" state="hidden" r:id="rId1"/>
    <sheet name="GP_Owned_CashRent" sheetId="21" state="hidden" r:id="rId2"/>
    <sheet name="National_County" sheetId="23" state="hidden" r:id="rId3"/>
    <sheet name="Crop_Total" sheetId="39" r:id="rId4"/>
    <sheet name="Cotton" sheetId="4" r:id="rId5"/>
    <sheet name="Corn" sheetId="10" r:id="rId6"/>
    <sheet name="Soybean" sheetId="12" r:id="rId7"/>
    <sheet name="Rice_LG" sheetId="11" r:id="rId8"/>
    <sheet name="Rice_MG" sheetId="31" r:id="rId9"/>
    <sheet name="Wheat" sheetId="14" r:id="rId10"/>
    <sheet name="Sorghum" sheetId="13" r:id="rId11"/>
    <sheet name="Peanut" sheetId="25" r:id="rId12"/>
    <sheet name="X_Cotton" sheetId="16" r:id="rId13"/>
    <sheet name="X_Corn" sheetId="15" r:id="rId14"/>
    <sheet name="X_Soybean" sheetId="18" r:id="rId15"/>
    <sheet name="X_Rice_LG" sheetId="17" r:id="rId16"/>
    <sheet name="X_Rice_MG" sheetId="30" r:id="rId17"/>
    <sheet name="X_Wheat" sheetId="20" r:id="rId18"/>
    <sheet name="X_Sorghum" sheetId="19" r:id="rId19"/>
    <sheet name="X_Peanut" sheetId="24" r:id="rId20"/>
    <sheet name="Farm Costs &amp; Returns" sheetId="9" r:id="rId21"/>
    <sheet name="Financial_Management" sheetId="34" r:id="rId22"/>
    <sheet name="Labor_Repairs" sheetId="38" r:id="rId23"/>
    <sheet name="Capital_Costs" sheetId="36" r:id="rId24"/>
    <sheet name="Hours" sheetId="35" r:id="rId25"/>
  </sheets>
  <definedNames>
    <definedName name="_xlnm.Print_Area" localSheetId="3">Crop_Total!$A$1:$J$16</definedName>
    <definedName name="_xlnm.Print_Area" localSheetId="20">'Farm Costs &amp; Returns'!$A$1:$J$24</definedName>
    <definedName name="_xlnm.Print_Area" localSheetId="21">Financial_Management!$A$1:$B$21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9" l="1"/>
  <c r="H3" i="39"/>
  <c r="G3" i="39"/>
  <c r="F3" i="39"/>
  <c r="E3" i="39"/>
  <c r="D3" i="39"/>
  <c r="C3" i="39"/>
  <c r="B3" i="39"/>
  <c r="H26" i="10"/>
  <c r="H28" i="10"/>
  <c r="H29" i="10"/>
  <c r="H30" i="10"/>
  <c r="I26" i="10"/>
  <c r="J26" i="10"/>
  <c r="K26" i="10"/>
  <c r="L26" i="10"/>
  <c r="C7" i="36"/>
  <c r="E7" i="36"/>
  <c r="H7" i="36"/>
  <c r="N7" i="36" s="1"/>
  <c r="J7" i="36"/>
  <c r="K7" i="36"/>
  <c r="M7" i="36" s="1"/>
  <c r="L7" i="36"/>
  <c r="S7" i="36"/>
  <c r="J3" i="39" l="1"/>
  <c r="T7" i="36"/>
  <c r="P7" i="36"/>
  <c r="B20" i="9" l="1"/>
  <c r="J15" i="39" l="1"/>
  <c r="I15" i="39"/>
  <c r="H15" i="39"/>
  <c r="G15" i="39"/>
  <c r="F15" i="39"/>
  <c r="E15" i="39"/>
  <c r="D15" i="39"/>
  <c r="C15" i="39"/>
  <c r="B15" i="39"/>
  <c r="C27" i="9" l="1"/>
  <c r="S75" i="36" l="1"/>
  <c r="J75" i="36"/>
  <c r="E75" i="36"/>
  <c r="H75" i="36" s="1"/>
  <c r="N75" i="36" s="1"/>
  <c r="S73" i="36"/>
  <c r="J73" i="36"/>
  <c r="E73" i="36"/>
  <c r="H73" i="36" s="1"/>
  <c r="N73" i="36" s="1"/>
  <c r="S78" i="36"/>
  <c r="J78" i="36"/>
  <c r="E78" i="36"/>
  <c r="S77" i="36"/>
  <c r="J77" i="36"/>
  <c r="E77" i="36"/>
  <c r="H77" i="36" s="1"/>
  <c r="N77" i="36" s="1"/>
  <c r="S76" i="36"/>
  <c r="J76" i="36"/>
  <c r="E76" i="36"/>
  <c r="L76" i="36" s="1"/>
  <c r="S74" i="36"/>
  <c r="J74" i="36"/>
  <c r="E74" i="36"/>
  <c r="L74" i="36" s="1"/>
  <c r="S72" i="36"/>
  <c r="J72" i="36"/>
  <c r="E72" i="36"/>
  <c r="H72" i="36" s="1"/>
  <c r="N72" i="36" s="1"/>
  <c r="S79" i="36"/>
  <c r="J79" i="36"/>
  <c r="E79" i="36"/>
  <c r="H79" i="36" s="1"/>
  <c r="S87" i="36"/>
  <c r="S86" i="36"/>
  <c r="S85" i="36"/>
  <c r="S84" i="36"/>
  <c r="S83" i="36"/>
  <c r="S82" i="36"/>
  <c r="S81" i="36"/>
  <c r="S70" i="36"/>
  <c r="S69" i="36"/>
  <c r="S68" i="36"/>
  <c r="S67" i="36"/>
  <c r="S66" i="36"/>
  <c r="S65" i="36"/>
  <c r="S64" i="36"/>
  <c r="S63" i="36"/>
  <c r="S62" i="36"/>
  <c r="S61" i="36"/>
  <c r="S60" i="36"/>
  <c r="S59" i="36"/>
  <c r="S58" i="36"/>
  <c r="S57" i="36"/>
  <c r="S56" i="36"/>
  <c r="S55" i="36"/>
  <c r="S54" i="36"/>
  <c r="S53" i="36"/>
  <c r="S51" i="36"/>
  <c r="S50" i="36"/>
  <c r="S49" i="36"/>
  <c r="S47" i="36"/>
  <c r="S46" i="36"/>
  <c r="S45" i="36"/>
  <c r="S44" i="36"/>
  <c r="S43" i="36"/>
  <c r="S42" i="36"/>
  <c r="S41" i="36"/>
  <c r="S40" i="36"/>
  <c r="S39" i="36"/>
  <c r="S38" i="36"/>
  <c r="S37" i="36"/>
  <c r="S36" i="36"/>
  <c r="S35" i="36"/>
  <c r="S34" i="36"/>
  <c r="S33" i="36"/>
  <c r="S32" i="36"/>
  <c r="S31" i="36"/>
  <c r="S30" i="36"/>
  <c r="S29" i="36"/>
  <c r="S28" i="36"/>
  <c r="S27" i="36"/>
  <c r="S26" i="36"/>
  <c r="S25" i="36"/>
  <c r="S24" i="36"/>
  <c r="S23" i="36"/>
  <c r="S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S9" i="36"/>
  <c r="S8" i="36"/>
  <c r="S5" i="36"/>
  <c r="S4" i="36"/>
  <c r="S3" i="36"/>
  <c r="S2" i="36"/>
  <c r="K78" i="36" l="1"/>
  <c r="K77" i="36"/>
  <c r="N79" i="36"/>
  <c r="P79" i="36" s="1"/>
  <c r="K74" i="36"/>
  <c r="M74" i="36" s="1"/>
  <c r="L77" i="36"/>
  <c r="H74" i="36"/>
  <c r="N74" i="36" s="1"/>
  <c r="T74" i="36" s="1"/>
  <c r="P75" i="36"/>
  <c r="T75" i="36"/>
  <c r="K75" i="36"/>
  <c r="L75" i="36"/>
  <c r="P73" i="36"/>
  <c r="T73" i="36"/>
  <c r="K73" i="36"/>
  <c r="L73" i="36"/>
  <c r="T77" i="36"/>
  <c r="P77" i="36"/>
  <c r="H78" i="36"/>
  <c r="N78" i="36" s="1"/>
  <c r="L78" i="36"/>
  <c r="K76" i="36"/>
  <c r="M76" i="36" s="1"/>
  <c r="H76" i="36"/>
  <c r="N76" i="36" s="1"/>
  <c r="P72" i="36"/>
  <c r="T72" i="36"/>
  <c r="K72" i="36"/>
  <c r="L72" i="36"/>
  <c r="K79" i="36"/>
  <c r="L79" i="36"/>
  <c r="M78" i="36" l="1"/>
  <c r="M79" i="36"/>
  <c r="M77" i="36"/>
  <c r="M75" i="36"/>
  <c r="M72" i="36"/>
  <c r="M73" i="36"/>
  <c r="T79" i="36"/>
  <c r="P74" i="36"/>
  <c r="T76" i="36"/>
  <c r="P76" i="36"/>
  <c r="T78" i="36"/>
  <c r="P78" i="36"/>
  <c r="N52" i="36" l="1"/>
  <c r="N48" i="36"/>
  <c r="N6" i="36"/>
  <c r="D6" i="38" l="1"/>
  <c r="B6" i="38"/>
  <c r="J87" i="36" l="1"/>
  <c r="E87" i="36"/>
  <c r="W86" i="36"/>
  <c r="J86" i="36"/>
  <c r="E86" i="36"/>
  <c r="H86" i="36" l="1"/>
  <c r="N86" i="36" s="1"/>
  <c r="K87" i="36"/>
  <c r="L87" i="36"/>
  <c r="H87" i="36"/>
  <c r="N87" i="36" s="1"/>
  <c r="K86" i="36"/>
  <c r="L86" i="36"/>
  <c r="M86" i="36" l="1"/>
  <c r="M87" i="36"/>
  <c r="P87" i="36"/>
  <c r="T87" i="36"/>
  <c r="P86" i="36"/>
  <c r="T86" i="36"/>
  <c r="E5" i="38" l="1"/>
  <c r="E4" i="38"/>
  <c r="E3" i="38"/>
  <c r="G3" i="38" s="1"/>
  <c r="E2" i="38"/>
  <c r="E6" i="38" l="1"/>
  <c r="G2" i="38"/>
  <c r="G5" i="38"/>
  <c r="G4" i="38"/>
  <c r="W85" i="36"/>
  <c r="W84" i="36"/>
  <c r="W83" i="36"/>
  <c r="W82" i="36"/>
  <c r="J84" i="36"/>
  <c r="E84" i="36"/>
  <c r="J81" i="36"/>
  <c r="E81" i="36"/>
  <c r="J85" i="36"/>
  <c r="E85" i="36"/>
  <c r="J83" i="36"/>
  <c r="E83" i="36"/>
  <c r="J82" i="36"/>
  <c r="E82" i="36"/>
  <c r="C6" i="38" l="1"/>
  <c r="K81" i="36"/>
  <c r="W88" i="36"/>
  <c r="G6" i="38"/>
  <c r="K84" i="36"/>
  <c r="L81" i="36"/>
  <c r="H81" i="36"/>
  <c r="N81" i="36" s="1"/>
  <c r="K85" i="36"/>
  <c r="L84" i="36"/>
  <c r="H84" i="36"/>
  <c r="L85" i="36"/>
  <c r="H85" i="36"/>
  <c r="N85" i="36" s="1"/>
  <c r="K83" i="36"/>
  <c r="K82" i="36"/>
  <c r="L82" i="36"/>
  <c r="H82" i="36"/>
  <c r="N82" i="36" s="1"/>
  <c r="L83" i="36"/>
  <c r="H83" i="36"/>
  <c r="N83" i="36" s="1"/>
  <c r="J70" i="36"/>
  <c r="J69" i="36"/>
  <c r="J68" i="36"/>
  <c r="J67" i="36"/>
  <c r="J66" i="36"/>
  <c r="J65" i="36"/>
  <c r="J64" i="36"/>
  <c r="J63" i="36"/>
  <c r="J62" i="36"/>
  <c r="J61" i="36"/>
  <c r="J60" i="36"/>
  <c r="J59" i="36"/>
  <c r="J58" i="36"/>
  <c r="J57" i="36"/>
  <c r="J56" i="36"/>
  <c r="J55" i="36"/>
  <c r="J54" i="36"/>
  <c r="J53" i="36"/>
  <c r="J51" i="36"/>
  <c r="J50" i="36"/>
  <c r="J49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4" i="36"/>
  <c r="J3" i="36"/>
  <c r="J2" i="36"/>
  <c r="J5" i="36"/>
  <c r="E5" i="36"/>
  <c r="M84" i="36" l="1"/>
  <c r="M83" i="36"/>
  <c r="M85" i="36"/>
  <c r="M82" i="36"/>
  <c r="M81" i="36"/>
  <c r="N84" i="36"/>
  <c r="T84" i="36" s="1"/>
  <c r="H5" i="36"/>
  <c r="N5" i="36" s="1"/>
  <c r="K5" i="36"/>
  <c r="T82" i="36"/>
  <c r="L5" i="36"/>
  <c r="T81" i="36"/>
  <c r="P82" i="36"/>
  <c r="T83" i="36"/>
  <c r="M5" i="36" l="1"/>
  <c r="P84" i="36"/>
  <c r="T85" i="36"/>
  <c r="T5" i="36"/>
  <c r="P5" i="36"/>
  <c r="P81" i="36"/>
  <c r="P85" i="36"/>
  <c r="P83" i="36"/>
  <c r="E70" i="36" l="1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1" i="36"/>
  <c r="E50" i="36"/>
  <c r="E49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4" i="36"/>
  <c r="E3" i="36"/>
  <c r="E2" i="36"/>
  <c r="H4" i="36" l="1"/>
  <c r="N4" i="36" s="1"/>
  <c r="H20" i="36"/>
  <c r="N20" i="36" s="1"/>
  <c r="L20" i="36"/>
  <c r="K20" i="36"/>
  <c r="H44" i="36"/>
  <c r="N44" i="36" s="1"/>
  <c r="L44" i="36"/>
  <c r="K44" i="36"/>
  <c r="M44" i="36" s="1"/>
  <c r="H54" i="36"/>
  <c r="N54" i="36" s="1"/>
  <c r="L54" i="36"/>
  <c r="K54" i="36"/>
  <c r="L13" i="36"/>
  <c r="H13" i="36"/>
  <c r="N13" i="36" s="1"/>
  <c r="K13" i="36"/>
  <c r="H29" i="36"/>
  <c r="N29" i="36" s="1"/>
  <c r="L29" i="36"/>
  <c r="K29" i="36"/>
  <c r="H37" i="36"/>
  <c r="N37" i="36" s="1"/>
  <c r="L37" i="36"/>
  <c r="K37" i="36"/>
  <c r="M37" i="36" s="1"/>
  <c r="L45" i="36"/>
  <c r="K45" i="36"/>
  <c r="M45" i="36" s="1"/>
  <c r="H45" i="36"/>
  <c r="N45" i="36" s="1"/>
  <c r="H55" i="36"/>
  <c r="N55" i="36" s="1"/>
  <c r="L55" i="36"/>
  <c r="K55" i="36"/>
  <c r="L63" i="36"/>
  <c r="H63" i="36"/>
  <c r="N63" i="36" s="1"/>
  <c r="K63" i="36"/>
  <c r="L14" i="36"/>
  <c r="H14" i="36"/>
  <c r="N14" i="36" s="1"/>
  <c r="K14" i="36"/>
  <c r="M14" i="36" s="1"/>
  <c r="H22" i="36"/>
  <c r="N22" i="36" s="1"/>
  <c r="L22" i="36"/>
  <c r="K22" i="36"/>
  <c r="M22" i="36" s="1"/>
  <c r="L30" i="36"/>
  <c r="K30" i="36"/>
  <c r="H30" i="36"/>
  <c r="N30" i="36" s="1"/>
  <c r="L38" i="36"/>
  <c r="K38" i="36"/>
  <c r="M38" i="36" s="1"/>
  <c r="H38" i="36"/>
  <c r="N38" i="36" s="1"/>
  <c r="L46" i="36"/>
  <c r="K46" i="36"/>
  <c r="M46" i="36" s="1"/>
  <c r="H46" i="36"/>
  <c r="N46" i="36" s="1"/>
  <c r="L56" i="36"/>
  <c r="H56" i="36"/>
  <c r="N56" i="36" s="1"/>
  <c r="K56" i="36"/>
  <c r="M56" i="36" s="1"/>
  <c r="L64" i="36"/>
  <c r="H64" i="36"/>
  <c r="N64" i="36" s="1"/>
  <c r="K64" i="36"/>
  <c r="K12" i="36"/>
  <c r="L12" i="36"/>
  <c r="H12" i="36"/>
  <c r="N12" i="36" s="1"/>
  <c r="H36" i="36"/>
  <c r="N36" i="36" s="1"/>
  <c r="L36" i="36"/>
  <c r="K36" i="36"/>
  <c r="M36" i="36" s="1"/>
  <c r="H70" i="36"/>
  <c r="N70" i="36" s="1"/>
  <c r="L70" i="36"/>
  <c r="K70" i="36"/>
  <c r="M70" i="36" s="1"/>
  <c r="H21" i="36"/>
  <c r="N21" i="36" s="1"/>
  <c r="L21" i="36"/>
  <c r="K21" i="36"/>
  <c r="M21" i="36" s="1"/>
  <c r="H15" i="36"/>
  <c r="N15" i="36" s="1"/>
  <c r="L15" i="36"/>
  <c r="K15" i="36"/>
  <c r="M15" i="36" s="1"/>
  <c r="H31" i="36"/>
  <c r="N31" i="36" s="1"/>
  <c r="L31" i="36"/>
  <c r="K31" i="36"/>
  <c r="M31" i="36" s="1"/>
  <c r="H39" i="36"/>
  <c r="N39" i="36" s="1"/>
  <c r="L39" i="36"/>
  <c r="K39" i="36"/>
  <c r="M39" i="36" s="1"/>
  <c r="L57" i="36"/>
  <c r="H57" i="36"/>
  <c r="N57" i="36" s="1"/>
  <c r="K57" i="36"/>
  <c r="H8" i="36"/>
  <c r="N8" i="36" s="1"/>
  <c r="L8" i="36"/>
  <c r="K8" i="36"/>
  <c r="M8" i="36" s="1"/>
  <c r="L24" i="36"/>
  <c r="H24" i="36"/>
  <c r="N24" i="36" s="1"/>
  <c r="K24" i="36"/>
  <c r="M24" i="36" s="1"/>
  <c r="H40" i="36"/>
  <c r="N40" i="36" s="1"/>
  <c r="L40" i="36"/>
  <c r="K40" i="36"/>
  <c r="M40" i="36" s="1"/>
  <c r="H58" i="36"/>
  <c r="N58" i="36" s="1"/>
  <c r="L58" i="36"/>
  <c r="K58" i="36"/>
  <c r="M58" i="36" s="1"/>
  <c r="K9" i="36"/>
  <c r="H9" i="36"/>
  <c r="N9" i="36" s="1"/>
  <c r="L9" i="36"/>
  <c r="L25" i="36"/>
  <c r="H25" i="36"/>
  <c r="N25" i="36" s="1"/>
  <c r="K25" i="36"/>
  <c r="M25" i="36" s="1"/>
  <c r="L41" i="36"/>
  <c r="H41" i="36"/>
  <c r="N41" i="36" s="1"/>
  <c r="K41" i="36"/>
  <c r="M41" i="36" s="1"/>
  <c r="L50" i="36"/>
  <c r="H50" i="36"/>
  <c r="N50" i="36" s="1"/>
  <c r="K50" i="36"/>
  <c r="L67" i="36"/>
  <c r="H67" i="36"/>
  <c r="N67" i="36" s="1"/>
  <c r="K67" i="36"/>
  <c r="M67" i="36" s="1"/>
  <c r="L10" i="36"/>
  <c r="H10" i="36"/>
  <c r="N10" i="36" s="1"/>
  <c r="K10" i="36"/>
  <c r="M10" i="36" s="1"/>
  <c r="L18" i="36"/>
  <c r="K18" i="36"/>
  <c r="H18" i="36"/>
  <c r="N18" i="36" s="1"/>
  <c r="H26" i="36"/>
  <c r="N26" i="36" s="1"/>
  <c r="L26" i="36"/>
  <c r="K26" i="36"/>
  <c r="M26" i="36" s="1"/>
  <c r="L34" i="36"/>
  <c r="H34" i="36"/>
  <c r="N34" i="36" s="1"/>
  <c r="K34" i="36"/>
  <c r="M34" i="36" s="1"/>
  <c r="L42" i="36"/>
  <c r="H42" i="36"/>
  <c r="N42" i="36" s="1"/>
  <c r="K42" i="36"/>
  <c r="M42" i="36" s="1"/>
  <c r="H51" i="36"/>
  <c r="N51" i="36" s="1"/>
  <c r="K51" i="36"/>
  <c r="L51" i="36"/>
  <c r="H60" i="36"/>
  <c r="N60" i="36" s="1"/>
  <c r="L60" i="36"/>
  <c r="K60" i="36"/>
  <c r="H68" i="36"/>
  <c r="N68" i="36" s="1"/>
  <c r="L68" i="36"/>
  <c r="K68" i="36"/>
  <c r="M68" i="36" s="1"/>
  <c r="H28" i="36"/>
  <c r="N28" i="36" s="1"/>
  <c r="L28" i="36"/>
  <c r="K28" i="36"/>
  <c r="L62" i="36"/>
  <c r="H62" i="36"/>
  <c r="N62" i="36" s="1"/>
  <c r="K62" i="36"/>
  <c r="L23" i="36"/>
  <c r="H23" i="36"/>
  <c r="N23" i="36" s="1"/>
  <c r="K23" i="36"/>
  <c r="M23" i="36" s="1"/>
  <c r="L47" i="36"/>
  <c r="H47" i="36"/>
  <c r="N47" i="36" s="1"/>
  <c r="K47" i="36"/>
  <c r="M47" i="36" s="1"/>
  <c r="H65" i="36"/>
  <c r="N65" i="36" s="1"/>
  <c r="L65" i="36"/>
  <c r="K65" i="36"/>
  <c r="M65" i="36" s="1"/>
  <c r="H16" i="36"/>
  <c r="N16" i="36" s="1"/>
  <c r="L16" i="36"/>
  <c r="K16" i="36"/>
  <c r="H32" i="36"/>
  <c r="N32" i="36" s="1"/>
  <c r="L32" i="36"/>
  <c r="K32" i="36"/>
  <c r="L49" i="36"/>
  <c r="H49" i="36"/>
  <c r="N49" i="36" s="1"/>
  <c r="K49" i="36"/>
  <c r="M49" i="36" s="1"/>
  <c r="L66" i="36"/>
  <c r="K66" i="36"/>
  <c r="H66" i="36"/>
  <c r="N66" i="36" s="1"/>
  <c r="L17" i="36"/>
  <c r="K17" i="36"/>
  <c r="H17" i="36"/>
  <c r="N17" i="36" s="1"/>
  <c r="H33" i="36"/>
  <c r="N33" i="36" s="1"/>
  <c r="L33" i="36"/>
  <c r="K33" i="36"/>
  <c r="M33" i="36" s="1"/>
  <c r="H59" i="36"/>
  <c r="N59" i="36" s="1"/>
  <c r="L59" i="36"/>
  <c r="K59" i="36"/>
  <c r="M59" i="36" s="1"/>
  <c r="H11" i="36"/>
  <c r="N11" i="36" s="1"/>
  <c r="K11" i="36"/>
  <c r="L11" i="36"/>
  <c r="K19" i="36"/>
  <c r="H19" i="36"/>
  <c r="N19" i="36" s="1"/>
  <c r="L19" i="36"/>
  <c r="H27" i="36"/>
  <c r="N27" i="36" s="1"/>
  <c r="L27" i="36"/>
  <c r="K27" i="36"/>
  <c r="H35" i="36"/>
  <c r="N35" i="36" s="1"/>
  <c r="L35" i="36"/>
  <c r="K35" i="36"/>
  <c r="M35" i="36" s="1"/>
  <c r="H43" i="36"/>
  <c r="N43" i="36" s="1"/>
  <c r="L43" i="36"/>
  <c r="K43" i="36"/>
  <c r="M43" i="36" s="1"/>
  <c r="H53" i="36"/>
  <c r="N53" i="36" s="1"/>
  <c r="L53" i="36"/>
  <c r="K53" i="36"/>
  <c r="M53" i="36" s="1"/>
  <c r="H61" i="36"/>
  <c r="N61" i="36" s="1"/>
  <c r="L61" i="36"/>
  <c r="K61" i="36"/>
  <c r="M61" i="36" s="1"/>
  <c r="H69" i="36"/>
  <c r="N69" i="36" s="1"/>
  <c r="K69" i="36"/>
  <c r="L69" i="36"/>
  <c r="H2" i="36"/>
  <c r="N2" i="36" s="1"/>
  <c r="L2" i="36"/>
  <c r="K2" i="36"/>
  <c r="H3" i="36"/>
  <c r="N3" i="36" s="1"/>
  <c r="L3" i="36"/>
  <c r="K3" i="36"/>
  <c r="K4" i="36"/>
  <c r="L4" i="36"/>
  <c r="S3" i="35"/>
  <c r="C2" i="36" s="1"/>
  <c r="S6" i="35"/>
  <c r="C5" i="36" s="1"/>
  <c r="S5" i="35"/>
  <c r="C4" i="36" s="1"/>
  <c r="S4" i="35"/>
  <c r="C3" i="36" s="1"/>
  <c r="I70" i="35"/>
  <c r="C70" i="36" s="1"/>
  <c r="I69" i="35"/>
  <c r="C69" i="36" s="1"/>
  <c r="I68" i="35"/>
  <c r="C68" i="36" s="1"/>
  <c r="I67" i="35"/>
  <c r="C67" i="36" s="1"/>
  <c r="I66" i="35"/>
  <c r="C66" i="36" s="1"/>
  <c r="I65" i="35"/>
  <c r="C65" i="36" s="1"/>
  <c r="I64" i="35"/>
  <c r="C64" i="36" s="1"/>
  <c r="I63" i="35"/>
  <c r="C63" i="36" s="1"/>
  <c r="I62" i="35"/>
  <c r="C62" i="36" s="1"/>
  <c r="I61" i="35"/>
  <c r="C61" i="36" s="1"/>
  <c r="I60" i="35"/>
  <c r="C60" i="36" s="1"/>
  <c r="I59" i="35"/>
  <c r="C59" i="36" s="1"/>
  <c r="I58" i="35"/>
  <c r="C58" i="36" s="1"/>
  <c r="I57" i="35"/>
  <c r="C57" i="36" s="1"/>
  <c r="I56" i="35"/>
  <c r="C56" i="36" s="1"/>
  <c r="I55" i="35"/>
  <c r="C55" i="36" s="1"/>
  <c r="I54" i="35"/>
  <c r="C54" i="36" s="1"/>
  <c r="I53" i="35"/>
  <c r="C53" i="36" s="1"/>
  <c r="I49" i="35"/>
  <c r="C51" i="36" s="1"/>
  <c r="I48" i="35"/>
  <c r="C50" i="36" s="1"/>
  <c r="I47" i="35"/>
  <c r="C49" i="36" s="1"/>
  <c r="I43" i="35"/>
  <c r="C47" i="36" s="1"/>
  <c r="I42" i="35"/>
  <c r="C46" i="36" s="1"/>
  <c r="I41" i="35"/>
  <c r="C45" i="36" s="1"/>
  <c r="I40" i="35"/>
  <c r="C44" i="36" s="1"/>
  <c r="I39" i="35"/>
  <c r="C43" i="36" s="1"/>
  <c r="I38" i="35"/>
  <c r="C42" i="36" s="1"/>
  <c r="I37" i="35"/>
  <c r="C41" i="36" s="1"/>
  <c r="I36" i="35"/>
  <c r="C40" i="36" s="1"/>
  <c r="I35" i="35"/>
  <c r="C39" i="36" s="1"/>
  <c r="I34" i="35"/>
  <c r="C38" i="36" s="1"/>
  <c r="I33" i="35"/>
  <c r="C37" i="36" s="1"/>
  <c r="I32" i="35"/>
  <c r="C36" i="36" s="1"/>
  <c r="I31" i="35"/>
  <c r="C35" i="36" s="1"/>
  <c r="I30" i="35"/>
  <c r="C34" i="36" s="1"/>
  <c r="I29" i="35"/>
  <c r="C33" i="36" s="1"/>
  <c r="I28" i="35"/>
  <c r="C32" i="36" s="1"/>
  <c r="I27" i="35"/>
  <c r="C31" i="36" s="1"/>
  <c r="I26" i="35"/>
  <c r="C30" i="36" s="1"/>
  <c r="I25" i="35"/>
  <c r="C29" i="36" s="1"/>
  <c r="I24" i="35"/>
  <c r="C28" i="36" s="1"/>
  <c r="I23" i="35"/>
  <c r="C27" i="36" s="1"/>
  <c r="I22" i="35"/>
  <c r="C26" i="36" s="1"/>
  <c r="I21" i="35"/>
  <c r="C25" i="36" s="1"/>
  <c r="I20" i="35"/>
  <c r="C24" i="36" s="1"/>
  <c r="I19" i="35"/>
  <c r="C23" i="36" s="1"/>
  <c r="I18" i="35"/>
  <c r="C22" i="36" s="1"/>
  <c r="I17" i="35"/>
  <c r="C21" i="36" s="1"/>
  <c r="I16" i="35"/>
  <c r="C20" i="36" s="1"/>
  <c r="I15" i="35"/>
  <c r="C19" i="36" s="1"/>
  <c r="I14" i="35"/>
  <c r="C18" i="36" s="1"/>
  <c r="I13" i="35"/>
  <c r="C17" i="36" s="1"/>
  <c r="I12" i="35"/>
  <c r="C16" i="36" s="1"/>
  <c r="I11" i="35"/>
  <c r="C15" i="36" s="1"/>
  <c r="I10" i="35"/>
  <c r="C14" i="36" s="1"/>
  <c r="I9" i="35"/>
  <c r="C13" i="36" s="1"/>
  <c r="I8" i="35"/>
  <c r="C12" i="36" s="1"/>
  <c r="I7" i="35"/>
  <c r="C11" i="36" s="1"/>
  <c r="I6" i="35"/>
  <c r="C10" i="36" s="1"/>
  <c r="I5" i="35"/>
  <c r="C9" i="36" s="1"/>
  <c r="I4" i="35"/>
  <c r="C8" i="36" s="1"/>
  <c r="I3" i="35"/>
  <c r="M63" i="36" l="1"/>
  <c r="M2" i="36"/>
  <c r="M19" i="36"/>
  <c r="M20" i="36"/>
  <c r="M29" i="36"/>
  <c r="M28" i="36"/>
  <c r="M27" i="36"/>
  <c r="M32" i="36"/>
  <c r="M13" i="36"/>
  <c r="M17" i="36"/>
  <c r="M30" i="36"/>
  <c r="M9" i="36"/>
  <c r="M4" i="36"/>
  <c r="M69" i="36"/>
  <c r="M62" i="36"/>
  <c r="M12" i="36"/>
  <c r="M54" i="36"/>
  <c r="M11" i="36"/>
  <c r="M51" i="36"/>
  <c r="M3" i="36"/>
  <c r="M66" i="36"/>
  <c r="M16" i="36"/>
  <c r="M60" i="36"/>
  <c r="M18" i="36"/>
  <c r="M50" i="36"/>
  <c r="M57" i="36"/>
  <c r="M64" i="36"/>
  <c r="M55" i="36"/>
  <c r="T4" i="36"/>
  <c r="T43" i="36"/>
  <c r="T42" i="36"/>
  <c r="P54" i="36"/>
  <c r="L88" i="36"/>
  <c r="K88" i="36"/>
  <c r="T27" i="36"/>
  <c r="P69" i="36"/>
  <c r="P59" i="36"/>
  <c r="T66" i="36"/>
  <c r="T32" i="36"/>
  <c r="T51" i="36"/>
  <c r="T22" i="36"/>
  <c r="P37" i="36"/>
  <c r="T61" i="36"/>
  <c r="P23" i="36"/>
  <c r="T45" i="36"/>
  <c r="P29" i="36"/>
  <c r="T25" i="36"/>
  <c r="T56" i="36"/>
  <c r="T30" i="36"/>
  <c r="P65" i="36"/>
  <c r="T50" i="36"/>
  <c r="P12" i="36"/>
  <c r="P20" i="36"/>
  <c r="T19" i="36"/>
  <c r="P19" i="36"/>
  <c r="T47" i="36"/>
  <c r="P47" i="36"/>
  <c r="T26" i="36"/>
  <c r="P26" i="36"/>
  <c r="T57" i="36"/>
  <c r="P57" i="36"/>
  <c r="P42" i="36"/>
  <c r="T24" i="36"/>
  <c r="P24" i="36"/>
  <c r="P61" i="36"/>
  <c r="T35" i="36"/>
  <c r="P35" i="36"/>
  <c r="T23" i="36"/>
  <c r="T15" i="36"/>
  <c r="P15" i="36"/>
  <c r="P25" i="36"/>
  <c r="T11" i="36"/>
  <c r="P11" i="36"/>
  <c r="T53" i="36"/>
  <c r="P53" i="36"/>
  <c r="P27" i="36"/>
  <c r="T10" i="36"/>
  <c r="P10" i="36"/>
  <c r="T59" i="36"/>
  <c r="P51" i="36"/>
  <c r="T17" i="36"/>
  <c r="P17" i="36"/>
  <c r="T58" i="36"/>
  <c r="P58" i="36"/>
  <c r="P22" i="36"/>
  <c r="T20" i="36"/>
  <c r="T2" i="36"/>
  <c r="P16" i="36"/>
  <c r="T16" i="36"/>
  <c r="T18" i="36"/>
  <c r="P18" i="36"/>
  <c r="T9" i="36"/>
  <c r="P9" i="36"/>
  <c r="T14" i="36"/>
  <c r="P14" i="36"/>
  <c r="T28" i="36"/>
  <c r="P28" i="36"/>
  <c r="T12" i="36"/>
  <c r="T13" i="36"/>
  <c r="P13" i="36"/>
  <c r="T39" i="36"/>
  <c r="P39" i="36"/>
  <c r="T29" i="36"/>
  <c r="P56" i="36"/>
  <c r="T3" i="36"/>
  <c r="T63" i="36"/>
  <c r="P63" i="36"/>
  <c r="T49" i="36"/>
  <c r="P49" i="36"/>
  <c r="T62" i="36"/>
  <c r="P62" i="36"/>
  <c r="T41" i="36"/>
  <c r="P41" i="36"/>
  <c r="T69" i="36"/>
  <c r="T31" i="36"/>
  <c r="P31" i="36"/>
  <c r="P30" i="36"/>
  <c r="P4" i="36"/>
  <c r="I12" i="34"/>
  <c r="M88" i="36" l="1"/>
  <c r="B19" i="34" s="1"/>
  <c r="P32" i="36"/>
  <c r="T37" i="36"/>
  <c r="P43" i="36"/>
  <c r="P45" i="36"/>
  <c r="N88" i="36"/>
  <c r="B11" i="34" s="1"/>
  <c r="P50" i="36"/>
  <c r="T54" i="36"/>
  <c r="P64" i="36"/>
  <c r="T64" i="36"/>
  <c r="T65" i="36"/>
  <c r="P66" i="36"/>
  <c r="P3" i="36"/>
  <c r="T38" i="36"/>
  <c r="P38" i="36"/>
  <c r="T60" i="36"/>
  <c r="P60" i="36"/>
  <c r="P36" i="36"/>
  <c r="T36" i="36"/>
  <c r="P2" i="36"/>
  <c r="T70" i="36"/>
  <c r="P70" i="36"/>
  <c r="T34" i="36"/>
  <c r="P34" i="36"/>
  <c r="P8" i="36"/>
  <c r="T8" i="36"/>
  <c r="T33" i="36"/>
  <c r="P33" i="36"/>
  <c r="T21" i="36"/>
  <c r="P21" i="36"/>
  <c r="P40" i="36"/>
  <c r="T40" i="36"/>
  <c r="T55" i="36"/>
  <c r="P55" i="36"/>
  <c r="T67" i="36"/>
  <c r="P67" i="36"/>
  <c r="T68" i="36"/>
  <c r="P68" i="36"/>
  <c r="T46" i="36"/>
  <c r="P46" i="36"/>
  <c r="P44" i="36"/>
  <c r="T44" i="36"/>
  <c r="I11" i="34" l="1"/>
  <c r="T88" i="36"/>
  <c r="B20" i="34" s="1"/>
  <c r="P88" i="36"/>
  <c r="B26" i="14"/>
  <c r="C26" i="14"/>
  <c r="D26" i="14"/>
  <c r="E26" i="14"/>
  <c r="F26" i="14"/>
  <c r="B4" i="34" l="1"/>
  <c r="B8" i="34"/>
  <c r="I8" i="34" s="1"/>
  <c r="E13" i="9"/>
  <c r="B13" i="34" s="1"/>
  <c r="I13" i="34" l="1"/>
  <c r="B14" i="34"/>
  <c r="I14" i="34" s="1"/>
  <c r="F32" i="31" l="1"/>
  <c r="E32" i="31"/>
  <c r="D32" i="31"/>
  <c r="C32" i="31"/>
  <c r="B32" i="31"/>
  <c r="L30" i="31"/>
  <c r="K30" i="31"/>
  <c r="J30" i="31"/>
  <c r="I30" i="31"/>
  <c r="H30" i="31"/>
  <c r="F30" i="31"/>
  <c r="E30" i="31"/>
  <c r="D30" i="31"/>
  <c r="C30" i="31"/>
  <c r="B30" i="31"/>
  <c r="L29" i="31"/>
  <c r="K29" i="31"/>
  <c r="J29" i="31"/>
  <c r="I29" i="31"/>
  <c r="H29" i="31"/>
  <c r="F29" i="31"/>
  <c r="E29" i="31"/>
  <c r="D29" i="31"/>
  <c r="C29" i="31"/>
  <c r="B29" i="31"/>
  <c r="L28" i="31"/>
  <c r="K28" i="31"/>
  <c r="J28" i="31"/>
  <c r="I28" i="31"/>
  <c r="H28" i="31"/>
  <c r="F28" i="31"/>
  <c r="F37" i="31" s="1"/>
  <c r="E28" i="31"/>
  <c r="D28" i="31"/>
  <c r="C28" i="31"/>
  <c r="B28" i="31"/>
  <c r="L26" i="31"/>
  <c r="L33" i="31" s="1"/>
  <c r="K26" i="31"/>
  <c r="K43" i="31" s="1"/>
  <c r="J26" i="31"/>
  <c r="J33" i="31" s="1"/>
  <c r="I26" i="31"/>
  <c r="I43" i="31" s="1"/>
  <c r="H26" i="31"/>
  <c r="H43" i="31" s="1"/>
  <c r="F26" i="31"/>
  <c r="F43" i="31" s="1"/>
  <c r="E26" i="31"/>
  <c r="E43" i="31" s="1"/>
  <c r="D26" i="31"/>
  <c r="D43" i="31" s="1"/>
  <c r="C26" i="31"/>
  <c r="C43" i="31" s="1"/>
  <c r="B26" i="31"/>
  <c r="B33" i="31" s="1"/>
  <c r="L25" i="31"/>
  <c r="K25" i="31"/>
  <c r="J25" i="31"/>
  <c r="I25" i="31"/>
  <c r="H25" i="31"/>
  <c r="L24" i="31"/>
  <c r="K24" i="31"/>
  <c r="J24" i="31"/>
  <c r="I24" i="31"/>
  <c r="H24" i="31"/>
  <c r="F24" i="31"/>
  <c r="E24" i="31"/>
  <c r="D24" i="31"/>
  <c r="C24" i="31"/>
  <c r="B24" i="31"/>
  <c r="L23" i="31"/>
  <c r="K23" i="31"/>
  <c r="J23" i="31"/>
  <c r="I23" i="31"/>
  <c r="H23" i="31"/>
  <c r="F23" i="31"/>
  <c r="E23" i="31"/>
  <c r="D23" i="31"/>
  <c r="C23" i="31"/>
  <c r="B23" i="31"/>
  <c r="L21" i="31"/>
  <c r="K21" i="31"/>
  <c r="K42" i="31" s="1"/>
  <c r="J21" i="31"/>
  <c r="J42" i="31" s="1"/>
  <c r="I21" i="31"/>
  <c r="I42" i="31" s="1"/>
  <c r="H21" i="31"/>
  <c r="H42" i="31" s="1"/>
  <c r="F21" i="31"/>
  <c r="F42" i="31" s="1"/>
  <c r="E21" i="31"/>
  <c r="E42" i="31" s="1"/>
  <c r="D21" i="31"/>
  <c r="D42" i="31" s="1"/>
  <c r="C21" i="31"/>
  <c r="C42" i="31" s="1"/>
  <c r="B21" i="31"/>
  <c r="B42" i="31" s="1"/>
  <c r="L20" i="31"/>
  <c r="L41" i="31" s="1"/>
  <c r="K20" i="31"/>
  <c r="K41" i="31" s="1"/>
  <c r="J20" i="31"/>
  <c r="J41" i="31" s="1"/>
  <c r="I20" i="31"/>
  <c r="I41" i="31" s="1"/>
  <c r="H20" i="31"/>
  <c r="H41" i="31" s="1"/>
  <c r="F20" i="31"/>
  <c r="F41" i="31" s="1"/>
  <c r="E20" i="31"/>
  <c r="E41" i="31" s="1"/>
  <c r="D20" i="31"/>
  <c r="D41" i="31" s="1"/>
  <c r="C20" i="31"/>
  <c r="C41" i="31" s="1"/>
  <c r="B20" i="31"/>
  <c r="B41" i="31" s="1"/>
  <c r="L19" i="31"/>
  <c r="K19" i="31"/>
  <c r="J19" i="31"/>
  <c r="I19" i="31"/>
  <c r="H19" i="31"/>
  <c r="F19" i="31"/>
  <c r="E19" i="31"/>
  <c r="D19" i="31"/>
  <c r="C19" i="31"/>
  <c r="B19" i="31"/>
  <c r="L18" i="31"/>
  <c r="K18" i="31"/>
  <c r="J18" i="31"/>
  <c r="I18" i="31"/>
  <c r="H18" i="31"/>
  <c r="F18" i="31"/>
  <c r="E18" i="31"/>
  <c r="D18" i="31"/>
  <c r="C18" i="31"/>
  <c r="B18" i="31"/>
  <c r="L17" i="31"/>
  <c r="K17" i="31"/>
  <c r="J17" i="31"/>
  <c r="I17" i="31"/>
  <c r="H17" i="31"/>
  <c r="F17" i="31"/>
  <c r="E17" i="31"/>
  <c r="D17" i="31"/>
  <c r="C17" i="31"/>
  <c r="B17" i="31"/>
  <c r="L16" i="31"/>
  <c r="K16" i="31"/>
  <c r="J16" i="31"/>
  <c r="I16" i="31"/>
  <c r="H16" i="31"/>
  <c r="F16" i="31"/>
  <c r="E16" i="31"/>
  <c r="D16" i="31"/>
  <c r="C16" i="31"/>
  <c r="B16" i="31"/>
  <c r="L15" i="31"/>
  <c r="K15" i="31"/>
  <c r="J15" i="31"/>
  <c r="I15" i="31"/>
  <c r="H15" i="31"/>
  <c r="F15" i="31"/>
  <c r="E15" i="31"/>
  <c r="D15" i="31"/>
  <c r="C15" i="31"/>
  <c r="B15" i="31"/>
  <c r="L14" i="31"/>
  <c r="K14" i="31"/>
  <c r="J14" i="31"/>
  <c r="I14" i="31"/>
  <c r="H14" i="31"/>
  <c r="F14" i="31"/>
  <c r="E14" i="31"/>
  <c r="D14" i="31"/>
  <c r="C14" i="31"/>
  <c r="B14" i="31"/>
  <c r="L13" i="31"/>
  <c r="K13" i="31"/>
  <c r="J13" i="31"/>
  <c r="I13" i="31"/>
  <c r="H13" i="31"/>
  <c r="F13" i="31"/>
  <c r="E13" i="31"/>
  <c r="D13" i="31"/>
  <c r="C13" i="31"/>
  <c r="B13" i="31"/>
  <c r="L12" i="31"/>
  <c r="K12" i="31"/>
  <c r="J12" i="31"/>
  <c r="I12" i="31"/>
  <c r="H12" i="31"/>
  <c r="F12" i="31"/>
  <c r="E12" i="31"/>
  <c r="D12" i="31"/>
  <c r="C12" i="31"/>
  <c r="B12" i="31"/>
  <c r="L11" i="31"/>
  <c r="K11" i="31"/>
  <c r="J11" i="31"/>
  <c r="I11" i="31"/>
  <c r="H11" i="31"/>
  <c r="F11" i="31"/>
  <c r="E11" i="31"/>
  <c r="D11" i="31"/>
  <c r="C11" i="31"/>
  <c r="B11" i="31"/>
  <c r="L44" i="31"/>
  <c r="K44" i="31"/>
  <c r="J44" i="31"/>
  <c r="I44" i="31"/>
  <c r="H44" i="31"/>
  <c r="F44" i="31"/>
  <c r="E44" i="31"/>
  <c r="D44" i="31"/>
  <c r="C44" i="31"/>
  <c r="B44" i="31"/>
  <c r="L42" i="31"/>
  <c r="F25" i="31"/>
  <c r="E25" i="31"/>
  <c r="D25" i="31"/>
  <c r="C25" i="31"/>
  <c r="B25" i="31"/>
  <c r="L42" i="30"/>
  <c r="K42" i="30"/>
  <c r="J42" i="30"/>
  <c r="I42" i="30"/>
  <c r="H42" i="30"/>
  <c r="F42" i="30"/>
  <c r="E42" i="30"/>
  <c r="D42" i="30"/>
  <c r="C42" i="30"/>
  <c r="B42" i="30"/>
  <c r="L41" i="30"/>
  <c r="K41" i="30"/>
  <c r="J41" i="30"/>
  <c r="I41" i="30"/>
  <c r="H41" i="30"/>
  <c r="F41" i="30"/>
  <c r="E41" i="30"/>
  <c r="D41" i="30"/>
  <c r="C41" i="30"/>
  <c r="B41" i="30"/>
  <c r="L37" i="30"/>
  <c r="K37" i="30"/>
  <c r="J37" i="30"/>
  <c r="I37" i="30"/>
  <c r="H37" i="30"/>
  <c r="F37" i="30"/>
  <c r="E37" i="30"/>
  <c r="D37" i="30"/>
  <c r="C37" i="30"/>
  <c r="B37" i="30"/>
  <c r="L36" i="30"/>
  <c r="K36" i="30"/>
  <c r="J36" i="30"/>
  <c r="I36" i="30"/>
  <c r="H36" i="30"/>
  <c r="F36" i="30"/>
  <c r="E36" i="30"/>
  <c r="D36" i="30"/>
  <c r="C36" i="30"/>
  <c r="B36" i="30"/>
  <c r="L35" i="30"/>
  <c r="K35" i="30"/>
  <c r="J35" i="30"/>
  <c r="I35" i="30"/>
  <c r="H35" i="30"/>
  <c r="F35" i="30"/>
  <c r="E35" i="30"/>
  <c r="D35" i="30"/>
  <c r="C35" i="30"/>
  <c r="B35" i="30"/>
  <c r="L34" i="30"/>
  <c r="K34" i="30"/>
  <c r="J34" i="30"/>
  <c r="I34" i="30"/>
  <c r="H34" i="30"/>
  <c r="F34" i="30"/>
  <c r="E34" i="30"/>
  <c r="D34" i="30"/>
  <c r="C34" i="30"/>
  <c r="B34" i="30"/>
  <c r="L33" i="30"/>
  <c r="K33" i="30"/>
  <c r="J33" i="30"/>
  <c r="I33" i="30"/>
  <c r="H33" i="30"/>
  <c r="F33" i="30"/>
  <c r="E33" i="30"/>
  <c r="D33" i="30"/>
  <c r="C33" i="30"/>
  <c r="B33" i="30"/>
  <c r="E38" i="30" l="1"/>
  <c r="E39" i="30" s="1"/>
  <c r="D38" i="30"/>
  <c r="D39" i="30" s="1"/>
  <c r="D33" i="31"/>
  <c r="E33" i="31"/>
  <c r="F38" i="30"/>
  <c r="F39" i="30" s="1"/>
  <c r="H38" i="30"/>
  <c r="H39" i="30" s="1"/>
  <c r="B38" i="30"/>
  <c r="K38" i="30"/>
  <c r="K39" i="30" s="1"/>
  <c r="K33" i="31"/>
  <c r="C38" i="30"/>
  <c r="C39" i="30" s="1"/>
  <c r="L38" i="30"/>
  <c r="L39" i="30" s="1"/>
  <c r="H34" i="31"/>
  <c r="J34" i="31"/>
  <c r="L35" i="31"/>
  <c r="K37" i="31"/>
  <c r="C35" i="31"/>
  <c r="D37" i="31"/>
  <c r="B37" i="31"/>
  <c r="E35" i="31"/>
  <c r="M35" i="30"/>
  <c r="J38" i="30"/>
  <c r="J39" i="30" s="1"/>
  <c r="C22" i="31"/>
  <c r="C45" i="31" s="1"/>
  <c r="I34" i="31"/>
  <c r="C37" i="31"/>
  <c r="M34" i="30"/>
  <c r="M41" i="30"/>
  <c r="I37" i="31"/>
  <c r="L37" i="31"/>
  <c r="M37" i="30"/>
  <c r="I38" i="30"/>
  <c r="I39" i="30" s="1"/>
  <c r="M42" i="30"/>
  <c r="J37" i="31"/>
  <c r="H37" i="31"/>
  <c r="B43" i="31"/>
  <c r="E34" i="31"/>
  <c r="F34" i="31"/>
  <c r="D34" i="31"/>
  <c r="K35" i="31"/>
  <c r="E37" i="31"/>
  <c r="M32" i="31"/>
  <c r="M33" i="30"/>
  <c r="H22" i="31"/>
  <c r="B34" i="31"/>
  <c r="M44" i="31"/>
  <c r="F4" i="39" s="1"/>
  <c r="L22" i="31"/>
  <c r="J35" i="31"/>
  <c r="C33" i="31"/>
  <c r="K22" i="31"/>
  <c r="B35" i="31"/>
  <c r="L43" i="31"/>
  <c r="M42" i="31"/>
  <c r="M41" i="31"/>
  <c r="D35" i="31"/>
  <c r="J22" i="31"/>
  <c r="K34" i="31"/>
  <c r="H35" i="31"/>
  <c r="D22" i="31"/>
  <c r="F33" i="31"/>
  <c r="C34" i="31"/>
  <c r="L34" i="31"/>
  <c r="I35" i="31"/>
  <c r="B22" i="31"/>
  <c r="E22" i="31"/>
  <c r="H33" i="31"/>
  <c r="F35" i="31"/>
  <c r="F22" i="31"/>
  <c r="I33" i="31"/>
  <c r="I22" i="31"/>
  <c r="J43" i="31"/>
  <c r="M36" i="30"/>
  <c r="M38" i="30" l="1"/>
  <c r="B39" i="30"/>
  <c r="C36" i="31"/>
  <c r="C38" i="31" s="1"/>
  <c r="C39" i="31" s="1"/>
  <c r="M37" i="31"/>
  <c r="M43" i="31"/>
  <c r="F16" i="39" s="1"/>
  <c r="K36" i="31"/>
  <c r="K38" i="31" s="1"/>
  <c r="K39" i="31" s="1"/>
  <c r="K45" i="31"/>
  <c r="I36" i="31"/>
  <c r="I38" i="31" s="1"/>
  <c r="I39" i="31" s="1"/>
  <c r="I45" i="31"/>
  <c r="F36" i="31"/>
  <c r="F38" i="31" s="1"/>
  <c r="F39" i="31" s="1"/>
  <c r="F45" i="31"/>
  <c r="L36" i="31"/>
  <c r="L38" i="31" s="1"/>
  <c r="L39" i="31" s="1"/>
  <c r="L45" i="31"/>
  <c r="E36" i="31"/>
  <c r="E38" i="31" s="1"/>
  <c r="E39" i="31" s="1"/>
  <c r="E45" i="31"/>
  <c r="H36" i="31"/>
  <c r="H38" i="31" s="1"/>
  <c r="H39" i="31" s="1"/>
  <c r="H45" i="31"/>
  <c r="D36" i="31"/>
  <c r="D38" i="31" s="1"/>
  <c r="D39" i="31" s="1"/>
  <c r="D45" i="31"/>
  <c r="B36" i="31"/>
  <c r="B38" i="31" s="1"/>
  <c r="B45" i="31"/>
  <c r="J36" i="31"/>
  <c r="J38" i="31" s="1"/>
  <c r="J39" i="31" s="1"/>
  <c r="J45" i="31"/>
  <c r="M33" i="31"/>
  <c r="F5" i="39" s="1"/>
  <c r="M35" i="31"/>
  <c r="F8" i="39" s="1"/>
  <c r="M34" i="31"/>
  <c r="F7" i="39" s="1"/>
  <c r="M36" i="31" l="1"/>
  <c r="M45" i="31"/>
  <c r="M38" i="31"/>
  <c r="B39" i="31"/>
  <c r="F9" i="39" l="1"/>
  <c r="F11" i="39" s="1"/>
  <c r="L44" i="25" l="1"/>
  <c r="K44" i="25"/>
  <c r="J44" i="25"/>
  <c r="I44" i="25"/>
  <c r="L30" i="25"/>
  <c r="K30" i="25"/>
  <c r="J30" i="25"/>
  <c r="I30" i="25"/>
  <c r="L29" i="25"/>
  <c r="K29" i="25"/>
  <c r="J29" i="25"/>
  <c r="I29" i="25"/>
  <c r="L28" i="25"/>
  <c r="K28" i="25"/>
  <c r="J28" i="25"/>
  <c r="I28" i="25"/>
  <c r="L26" i="25"/>
  <c r="K26" i="25"/>
  <c r="J26" i="25"/>
  <c r="J43" i="25" s="1"/>
  <c r="I26" i="25"/>
  <c r="I43" i="25" s="1"/>
  <c r="L25" i="25"/>
  <c r="K25" i="25"/>
  <c r="J25" i="25"/>
  <c r="I25" i="25"/>
  <c r="L24" i="25"/>
  <c r="K24" i="25"/>
  <c r="J24" i="25"/>
  <c r="I24" i="25"/>
  <c r="L23" i="25"/>
  <c r="K23" i="25"/>
  <c r="J23" i="25"/>
  <c r="I23" i="25"/>
  <c r="L21" i="25"/>
  <c r="L42" i="25" s="1"/>
  <c r="K21" i="25"/>
  <c r="K42" i="25" s="1"/>
  <c r="J21" i="25"/>
  <c r="J42" i="25" s="1"/>
  <c r="I21" i="25"/>
  <c r="I42" i="25" s="1"/>
  <c r="L20" i="25"/>
  <c r="L41" i="25" s="1"/>
  <c r="K20" i="25"/>
  <c r="K41" i="25" s="1"/>
  <c r="J20" i="25"/>
  <c r="J41" i="25" s="1"/>
  <c r="I20" i="25"/>
  <c r="I41" i="25" s="1"/>
  <c r="L19" i="25"/>
  <c r="K19" i="25"/>
  <c r="J19" i="25"/>
  <c r="I19" i="25"/>
  <c r="L18" i="25"/>
  <c r="K18" i="25"/>
  <c r="J18" i="25"/>
  <c r="I18" i="25"/>
  <c r="L17" i="25"/>
  <c r="K17" i="25"/>
  <c r="J17" i="25"/>
  <c r="I17" i="25"/>
  <c r="L16" i="25"/>
  <c r="K16" i="25"/>
  <c r="J16" i="25"/>
  <c r="I16" i="25"/>
  <c r="L15" i="25"/>
  <c r="K15" i="25"/>
  <c r="J15" i="25"/>
  <c r="I15" i="25"/>
  <c r="L14" i="25"/>
  <c r="K14" i="25"/>
  <c r="J14" i="25"/>
  <c r="I14" i="25"/>
  <c r="L13" i="25"/>
  <c r="K13" i="25"/>
  <c r="J13" i="25"/>
  <c r="I13" i="25"/>
  <c r="L12" i="25"/>
  <c r="K12" i="25"/>
  <c r="J12" i="25"/>
  <c r="I12" i="25"/>
  <c r="L11" i="25"/>
  <c r="K11" i="25"/>
  <c r="J11" i="25"/>
  <c r="I11" i="25"/>
  <c r="F44" i="25"/>
  <c r="E44" i="25"/>
  <c r="D44" i="25"/>
  <c r="C44" i="25"/>
  <c r="F32" i="25"/>
  <c r="E32" i="25"/>
  <c r="D32" i="25"/>
  <c r="C32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6" i="25"/>
  <c r="E26" i="25"/>
  <c r="E43" i="25" s="1"/>
  <c r="D26" i="25"/>
  <c r="D43" i="25" s="1"/>
  <c r="C26" i="25"/>
  <c r="F25" i="25"/>
  <c r="E25" i="25"/>
  <c r="D25" i="25"/>
  <c r="C25" i="25"/>
  <c r="F24" i="25"/>
  <c r="E24" i="25"/>
  <c r="D24" i="25"/>
  <c r="C24" i="25"/>
  <c r="F23" i="25"/>
  <c r="E23" i="25"/>
  <c r="D23" i="25"/>
  <c r="C23" i="25"/>
  <c r="F21" i="25"/>
  <c r="F42" i="25" s="1"/>
  <c r="E21" i="25"/>
  <c r="E42" i="25" s="1"/>
  <c r="D21" i="25"/>
  <c r="D42" i="25" s="1"/>
  <c r="C21" i="25"/>
  <c r="C42" i="25" s="1"/>
  <c r="F20" i="25"/>
  <c r="F41" i="25" s="1"/>
  <c r="E20" i="25"/>
  <c r="E41" i="25" s="1"/>
  <c r="D20" i="25"/>
  <c r="D41" i="25" s="1"/>
  <c r="C20" i="25"/>
  <c r="C41" i="25" s="1"/>
  <c r="F19" i="25"/>
  <c r="E19" i="25"/>
  <c r="D19" i="25"/>
  <c r="C19" i="25"/>
  <c r="F18" i="25"/>
  <c r="E18" i="25"/>
  <c r="D18" i="25"/>
  <c r="C18" i="25"/>
  <c r="F17" i="25"/>
  <c r="E17" i="25"/>
  <c r="D17" i="25"/>
  <c r="C17" i="25"/>
  <c r="F16" i="25"/>
  <c r="E16" i="25"/>
  <c r="D16" i="25"/>
  <c r="C16" i="25"/>
  <c r="F15" i="25"/>
  <c r="E15" i="25"/>
  <c r="D15" i="25"/>
  <c r="C15" i="25"/>
  <c r="F14" i="25"/>
  <c r="E14" i="25"/>
  <c r="D14" i="25"/>
  <c r="C14" i="25"/>
  <c r="F13" i="25"/>
  <c r="E13" i="25"/>
  <c r="D13" i="25"/>
  <c r="C13" i="25"/>
  <c r="F12" i="25"/>
  <c r="E12" i="25"/>
  <c r="D12" i="25"/>
  <c r="C12" i="25"/>
  <c r="F11" i="25"/>
  <c r="E11" i="25"/>
  <c r="D11" i="25"/>
  <c r="C11" i="25"/>
  <c r="L42" i="24"/>
  <c r="K42" i="24"/>
  <c r="J42" i="24"/>
  <c r="I42" i="24"/>
  <c r="L41" i="24"/>
  <c r="K41" i="24"/>
  <c r="J41" i="24"/>
  <c r="I41" i="24"/>
  <c r="L37" i="24"/>
  <c r="K37" i="24"/>
  <c r="J37" i="24"/>
  <c r="I37" i="24"/>
  <c r="L36" i="24"/>
  <c r="K36" i="24"/>
  <c r="J36" i="24"/>
  <c r="I36" i="24"/>
  <c r="L35" i="24"/>
  <c r="K35" i="24"/>
  <c r="J35" i="24"/>
  <c r="I35" i="24"/>
  <c r="L34" i="24"/>
  <c r="K34" i="24"/>
  <c r="J34" i="24"/>
  <c r="I34" i="24"/>
  <c r="L33" i="24"/>
  <c r="K33" i="24"/>
  <c r="J33" i="24"/>
  <c r="I33" i="24"/>
  <c r="F42" i="24"/>
  <c r="E42" i="24"/>
  <c r="D42" i="24"/>
  <c r="C42" i="24"/>
  <c r="F41" i="24"/>
  <c r="E41" i="24"/>
  <c r="D41" i="24"/>
  <c r="C41" i="24"/>
  <c r="F37" i="24"/>
  <c r="E37" i="24"/>
  <c r="D37" i="24"/>
  <c r="C37" i="24"/>
  <c r="F36" i="24"/>
  <c r="E36" i="24"/>
  <c r="D36" i="24"/>
  <c r="C36" i="24"/>
  <c r="F35" i="24"/>
  <c r="E35" i="24"/>
  <c r="D35" i="24"/>
  <c r="C35" i="24"/>
  <c r="F34" i="24"/>
  <c r="E34" i="24"/>
  <c r="D34" i="24"/>
  <c r="C34" i="24"/>
  <c r="F33" i="24"/>
  <c r="E33" i="24"/>
  <c r="D33" i="24"/>
  <c r="C33" i="24"/>
  <c r="K38" i="24" l="1"/>
  <c r="K39" i="24" s="1"/>
  <c r="L38" i="24"/>
  <c r="L39" i="24" s="1"/>
  <c r="J38" i="24"/>
  <c r="J39" i="24" s="1"/>
  <c r="D35" i="25"/>
  <c r="C38" i="24"/>
  <c r="C39" i="24" s="1"/>
  <c r="F38" i="24"/>
  <c r="F39" i="24" s="1"/>
  <c r="L35" i="25"/>
  <c r="D38" i="24"/>
  <c r="D39" i="24" s="1"/>
  <c r="E35" i="25"/>
  <c r="E38" i="24"/>
  <c r="E39" i="24" s="1"/>
  <c r="I38" i="24"/>
  <c r="I39" i="24" s="1"/>
  <c r="I37" i="25"/>
  <c r="E37" i="25"/>
  <c r="K22" i="25"/>
  <c r="K45" i="25" s="1"/>
  <c r="F37" i="25"/>
  <c r="L37" i="25"/>
  <c r="J37" i="25"/>
  <c r="L22" i="25"/>
  <c r="J35" i="25"/>
  <c r="K37" i="25"/>
  <c r="C35" i="25"/>
  <c r="F35" i="25"/>
  <c r="F22" i="25"/>
  <c r="D34" i="25"/>
  <c r="C37" i="25"/>
  <c r="E22" i="25"/>
  <c r="D37" i="25"/>
  <c r="K34" i="25"/>
  <c r="K43" i="25"/>
  <c r="I34" i="25"/>
  <c r="J34" i="25"/>
  <c r="I22" i="25"/>
  <c r="I33" i="25"/>
  <c r="I35" i="25"/>
  <c r="K35" i="25"/>
  <c r="L34" i="25"/>
  <c r="L43" i="25"/>
  <c r="J22" i="25"/>
  <c r="J33" i="25"/>
  <c r="K33" i="25"/>
  <c r="L33" i="25"/>
  <c r="C43" i="25"/>
  <c r="D22" i="25"/>
  <c r="E34" i="25"/>
  <c r="F43" i="25"/>
  <c r="C33" i="25"/>
  <c r="C22" i="25"/>
  <c r="C34" i="25"/>
  <c r="F34" i="25"/>
  <c r="D33" i="25"/>
  <c r="E33" i="25"/>
  <c r="F33" i="25"/>
  <c r="L44" i="13"/>
  <c r="K44" i="13"/>
  <c r="J44" i="13"/>
  <c r="I44" i="13"/>
  <c r="L30" i="13"/>
  <c r="K30" i="13"/>
  <c r="J30" i="13"/>
  <c r="I30" i="13"/>
  <c r="L29" i="13"/>
  <c r="K29" i="13"/>
  <c r="J29" i="13"/>
  <c r="I29" i="13"/>
  <c r="L28" i="13"/>
  <c r="K28" i="13"/>
  <c r="J28" i="13"/>
  <c r="I28" i="13"/>
  <c r="L26" i="13"/>
  <c r="L43" i="13" s="1"/>
  <c r="K26" i="13"/>
  <c r="K43" i="13" s="1"/>
  <c r="J26" i="13"/>
  <c r="J43" i="13" s="1"/>
  <c r="I26" i="13"/>
  <c r="I43" i="13" s="1"/>
  <c r="L25" i="13"/>
  <c r="K25" i="13"/>
  <c r="J25" i="13"/>
  <c r="I25" i="13"/>
  <c r="L24" i="13"/>
  <c r="K24" i="13"/>
  <c r="J24" i="13"/>
  <c r="I24" i="13"/>
  <c r="L23" i="13"/>
  <c r="K23" i="13"/>
  <c r="J23" i="13"/>
  <c r="I23" i="13"/>
  <c r="L21" i="13"/>
  <c r="L42" i="13" s="1"/>
  <c r="K21" i="13"/>
  <c r="K42" i="13" s="1"/>
  <c r="J21" i="13"/>
  <c r="J42" i="13" s="1"/>
  <c r="I21" i="13"/>
  <c r="I42" i="13" s="1"/>
  <c r="L20" i="13"/>
  <c r="L41" i="13" s="1"/>
  <c r="K20" i="13"/>
  <c r="K41" i="13" s="1"/>
  <c r="J20" i="13"/>
  <c r="J41" i="13" s="1"/>
  <c r="I20" i="13"/>
  <c r="I41" i="13" s="1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F44" i="13"/>
  <c r="E44" i="13"/>
  <c r="D44" i="13"/>
  <c r="C44" i="13"/>
  <c r="F32" i="13"/>
  <c r="E32" i="13"/>
  <c r="D32" i="13"/>
  <c r="C32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6" i="13"/>
  <c r="E26" i="13"/>
  <c r="D26" i="13"/>
  <c r="D33" i="13" s="1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1" i="13"/>
  <c r="F42" i="13" s="1"/>
  <c r="E21" i="13"/>
  <c r="E42" i="13" s="1"/>
  <c r="D21" i="13"/>
  <c r="D42" i="13" s="1"/>
  <c r="C21" i="13"/>
  <c r="C42" i="13" s="1"/>
  <c r="F20" i="13"/>
  <c r="F41" i="13" s="1"/>
  <c r="E20" i="13"/>
  <c r="E41" i="13" s="1"/>
  <c r="D20" i="13"/>
  <c r="D41" i="13" s="1"/>
  <c r="C20" i="13"/>
  <c r="C41" i="13" s="1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L42" i="19"/>
  <c r="K42" i="19"/>
  <c r="J42" i="19"/>
  <c r="I42" i="19"/>
  <c r="L41" i="19"/>
  <c r="K41" i="19"/>
  <c r="J41" i="19"/>
  <c r="I41" i="19"/>
  <c r="L37" i="19"/>
  <c r="K37" i="19"/>
  <c r="J37" i="19"/>
  <c r="I37" i="19"/>
  <c r="L36" i="19"/>
  <c r="K36" i="19"/>
  <c r="J36" i="19"/>
  <c r="I36" i="19"/>
  <c r="L35" i="19"/>
  <c r="K35" i="19"/>
  <c r="J35" i="19"/>
  <c r="I35" i="19"/>
  <c r="L34" i="19"/>
  <c r="K34" i="19"/>
  <c r="J34" i="19"/>
  <c r="I34" i="19"/>
  <c r="L33" i="19"/>
  <c r="K33" i="19"/>
  <c r="J33" i="19"/>
  <c r="I33" i="19"/>
  <c r="F42" i="19"/>
  <c r="E42" i="19"/>
  <c r="D42" i="19"/>
  <c r="C42" i="19"/>
  <c r="F41" i="19"/>
  <c r="E41" i="19"/>
  <c r="D41" i="19"/>
  <c r="C41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I38" i="19" l="1"/>
  <c r="I39" i="19" s="1"/>
  <c r="E38" i="19"/>
  <c r="E39" i="19" s="1"/>
  <c r="D38" i="19"/>
  <c r="D39" i="19" s="1"/>
  <c r="F38" i="19"/>
  <c r="F39" i="19" s="1"/>
  <c r="J38" i="19"/>
  <c r="J39" i="19" s="1"/>
  <c r="K38" i="19"/>
  <c r="K39" i="19" s="1"/>
  <c r="L38" i="19"/>
  <c r="L39" i="19" s="1"/>
  <c r="C38" i="19"/>
  <c r="C39" i="19" s="1"/>
  <c r="K36" i="25"/>
  <c r="K38" i="25" s="1"/>
  <c r="K39" i="25" s="1"/>
  <c r="D36" i="25"/>
  <c r="D38" i="25" s="1"/>
  <c r="D39" i="25" s="1"/>
  <c r="D45" i="25"/>
  <c r="L36" i="25"/>
  <c r="L38" i="25" s="1"/>
  <c r="L39" i="25" s="1"/>
  <c r="L45" i="25"/>
  <c r="I36" i="25"/>
  <c r="I38" i="25" s="1"/>
  <c r="I39" i="25" s="1"/>
  <c r="I45" i="25"/>
  <c r="C36" i="25"/>
  <c r="C38" i="25" s="1"/>
  <c r="C39" i="25" s="1"/>
  <c r="C45" i="25"/>
  <c r="F36" i="25"/>
  <c r="F38" i="25" s="1"/>
  <c r="F39" i="25" s="1"/>
  <c r="F45" i="25"/>
  <c r="J36" i="25"/>
  <c r="J38" i="25" s="1"/>
  <c r="J39" i="25" s="1"/>
  <c r="J45" i="25"/>
  <c r="E36" i="25"/>
  <c r="E38" i="25" s="1"/>
  <c r="E39" i="25" s="1"/>
  <c r="E45" i="25"/>
  <c r="F37" i="13"/>
  <c r="J35" i="13"/>
  <c r="F22" i="13"/>
  <c r="F45" i="13" s="1"/>
  <c r="L37" i="13"/>
  <c r="D37" i="13"/>
  <c r="E37" i="13"/>
  <c r="J37" i="13"/>
  <c r="K37" i="13"/>
  <c r="L35" i="13"/>
  <c r="D22" i="13"/>
  <c r="F35" i="13"/>
  <c r="C37" i="13"/>
  <c r="I35" i="13"/>
  <c r="I37" i="13"/>
  <c r="K35" i="13"/>
  <c r="E22" i="13"/>
  <c r="C35" i="13"/>
  <c r="D35" i="13"/>
  <c r="E35" i="13"/>
  <c r="L22" i="13"/>
  <c r="I34" i="13"/>
  <c r="L33" i="13"/>
  <c r="J34" i="13"/>
  <c r="K34" i="13"/>
  <c r="L34" i="13"/>
  <c r="I22" i="13"/>
  <c r="I33" i="13"/>
  <c r="J22" i="13"/>
  <c r="J33" i="13"/>
  <c r="K22" i="13"/>
  <c r="K33" i="13"/>
  <c r="C22" i="13"/>
  <c r="D34" i="13"/>
  <c r="D43" i="13"/>
  <c r="E34" i="13"/>
  <c r="E43" i="13"/>
  <c r="C34" i="13"/>
  <c r="C43" i="13"/>
  <c r="F34" i="13"/>
  <c r="F43" i="13"/>
  <c r="C33" i="13"/>
  <c r="E33" i="13"/>
  <c r="F33" i="13"/>
  <c r="F36" i="13" l="1"/>
  <c r="F38" i="13" s="1"/>
  <c r="F39" i="13" s="1"/>
  <c r="K36" i="13"/>
  <c r="K38" i="13" s="1"/>
  <c r="K39" i="13" s="1"/>
  <c r="K45" i="13"/>
  <c r="J36" i="13"/>
  <c r="J38" i="13" s="1"/>
  <c r="J39" i="13" s="1"/>
  <c r="J45" i="13"/>
  <c r="L36" i="13"/>
  <c r="L38" i="13" s="1"/>
  <c r="L39" i="13" s="1"/>
  <c r="L45" i="13"/>
  <c r="I36" i="13"/>
  <c r="I38" i="13" s="1"/>
  <c r="I39" i="13" s="1"/>
  <c r="I45" i="13"/>
  <c r="D36" i="13"/>
  <c r="D38" i="13" s="1"/>
  <c r="D39" i="13" s="1"/>
  <c r="D45" i="13"/>
  <c r="C36" i="13"/>
  <c r="C38" i="13" s="1"/>
  <c r="C39" i="13" s="1"/>
  <c r="C45" i="13"/>
  <c r="E36" i="13"/>
  <c r="E38" i="13" s="1"/>
  <c r="E39" i="13" s="1"/>
  <c r="E45" i="13"/>
  <c r="H20" i="25"/>
  <c r="B20" i="25"/>
  <c r="H20" i="13"/>
  <c r="B20" i="13"/>
  <c r="L20" i="14"/>
  <c r="K20" i="14"/>
  <c r="J20" i="14"/>
  <c r="I20" i="14"/>
  <c r="H20" i="14"/>
  <c r="F20" i="14"/>
  <c r="E20" i="14"/>
  <c r="D20" i="14"/>
  <c r="C20" i="14"/>
  <c r="B20" i="14"/>
  <c r="L20" i="11"/>
  <c r="K20" i="11"/>
  <c r="J20" i="11"/>
  <c r="I20" i="11"/>
  <c r="H20" i="11"/>
  <c r="F20" i="11"/>
  <c r="E20" i="11"/>
  <c r="D20" i="11"/>
  <c r="C20" i="11"/>
  <c r="B20" i="11"/>
  <c r="L20" i="12"/>
  <c r="K20" i="12"/>
  <c r="J20" i="12"/>
  <c r="I20" i="12"/>
  <c r="H20" i="12"/>
  <c r="F20" i="12"/>
  <c r="E20" i="12"/>
  <c r="D20" i="12"/>
  <c r="C20" i="12"/>
  <c r="B20" i="12"/>
  <c r="F20" i="10"/>
  <c r="E20" i="10"/>
  <c r="D20" i="10"/>
  <c r="C20" i="10"/>
  <c r="B20" i="10"/>
  <c r="F20" i="4"/>
  <c r="E20" i="4"/>
  <c r="D20" i="4"/>
  <c r="C20" i="4"/>
  <c r="B20" i="4"/>
  <c r="H17" i="25"/>
  <c r="B17" i="25"/>
  <c r="H17" i="13"/>
  <c r="B17" i="13"/>
  <c r="F17" i="14"/>
  <c r="E17" i="14"/>
  <c r="D17" i="14"/>
  <c r="C17" i="14"/>
  <c r="B17" i="14"/>
  <c r="L17" i="14"/>
  <c r="K17" i="14"/>
  <c r="J17" i="14"/>
  <c r="I17" i="14"/>
  <c r="H17" i="14"/>
  <c r="F17" i="11"/>
  <c r="E17" i="11"/>
  <c r="D17" i="11"/>
  <c r="C17" i="11"/>
  <c r="B17" i="11"/>
  <c r="L17" i="11"/>
  <c r="K17" i="11"/>
  <c r="J17" i="11"/>
  <c r="I17" i="11"/>
  <c r="H17" i="11"/>
  <c r="L17" i="12"/>
  <c r="K17" i="12"/>
  <c r="J17" i="12"/>
  <c r="I17" i="12"/>
  <c r="H17" i="12"/>
  <c r="F17" i="12"/>
  <c r="E17" i="12"/>
  <c r="D17" i="12"/>
  <c r="C17" i="12"/>
  <c r="B17" i="12"/>
  <c r="F17" i="10"/>
  <c r="E17" i="10"/>
  <c r="D17" i="10"/>
  <c r="C17" i="10"/>
  <c r="B17" i="10"/>
  <c r="F17" i="4"/>
  <c r="E17" i="4"/>
  <c r="D17" i="4"/>
  <c r="C17" i="4"/>
  <c r="B17" i="4"/>
  <c r="B3" i="34" l="1"/>
  <c r="I3" i="34" s="1"/>
  <c r="H25" i="25"/>
  <c r="H24" i="25"/>
  <c r="H23" i="25"/>
  <c r="H21" i="25"/>
  <c r="H19" i="25"/>
  <c r="H18" i="25"/>
  <c r="H16" i="25"/>
  <c r="H15" i="25"/>
  <c r="H14" i="25"/>
  <c r="H13" i="25"/>
  <c r="H12" i="25"/>
  <c r="H11" i="25"/>
  <c r="H25" i="13"/>
  <c r="H24" i="13"/>
  <c r="H23" i="13"/>
  <c r="H21" i="13"/>
  <c r="H19" i="13"/>
  <c r="H18" i="13"/>
  <c r="H16" i="13"/>
  <c r="H15" i="13"/>
  <c r="H14" i="13"/>
  <c r="H13" i="13"/>
  <c r="H12" i="13"/>
  <c r="H11" i="13"/>
  <c r="L26" i="11"/>
  <c r="K26" i="11"/>
  <c r="J26" i="11"/>
  <c r="I26" i="11"/>
  <c r="L25" i="11"/>
  <c r="K25" i="11"/>
  <c r="J25" i="11"/>
  <c r="I25" i="11"/>
  <c r="L24" i="11"/>
  <c r="K24" i="11"/>
  <c r="J24" i="11"/>
  <c r="I24" i="11"/>
  <c r="L23" i="11"/>
  <c r="K23" i="11"/>
  <c r="J23" i="11"/>
  <c r="I23" i="11"/>
  <c r="L21" i="11"/>
  <c r="K21" i="11"/>
  <c r="J21" i="11"/>
  <c r="I21" i="11"/>
  <c r="L19" i="11"/>
  <c r="K19" i="11"/>
  <c r="J19" i="11"/>
  <c r="I19" i="11"/>
  <c r="L18" i="11"/>
  <c r="K18" i="11"/>
  <c r="J18" i="11"/>
  <c r="I18" i="11"/>
  <c r="L16" i="11"/>
  <c r="K16" i="11"/>
  <c r="J16" i="11"/>
  <c r="I16" i="11"/>
  <c r="L15" i="11"/>
  <c r="K15" i="11"/>
  <c r="J15" i="11"/>
  <c r="I15" i="11"/>
  <c r="L14" i="11"/>
  <c r="K14" i="11"/>
  <c r="J14" i="11"/>
  <c r="I14" i="11"/>
  <c r="L13" i="11"/>
  <c r="K13" i="11"/>
  <c r="J13" i="11"/>
  <c r="I13" i="11"/>
  <c r="L12" i="11"/>
  <c r="K12" i="11"/>
  <c r="J12" i="11"/>
  <c r="I12" i="11"/>
  <c r="L11" i="11"/>
  <c r="K11" i="11"/>
  <c r="J11" i="11"/>
  <c r="I11" i="11"/>
  <c r="H25" i="11"/>
  <c r="H24" i="11"/>
  <c r="H23" i="11"/>
  <c r="H21" i="11"/>
  <c r="H19" i="11"/>
  <c r="H18" i="11"/>
  <c r="H16" i="11"/>
  <c r="H15" i="11"/>
  <c r="H14" i="11"/>
  <c r="H13" i="11"/>
  <c r="H12" i="11"/>
  <c r="H11" i="11"/>
  <c r="K26" i="12"/>
  <c r="J26" i="12"/>
  <c r="I26" i="12"/>
  <c r="H26" i="12"/>
  <c r="K25" i="12"/>
  <c r="J25" i="12"/>
  <c r="I25" i="12"/>
  <c r="H25" i="12"/>
  <c r="K24" i="12"/>
  <c r="J24" i="12"/>
  <c r="I24" i="12"/>
  <c r="H24" i="12"/>
  <c r="K23" i="12"/>
  <c r="J23" i="12"/>
  <c r="I23" i="12"/>
  <c r="H23" i="12"/>
  <c r="K21" i="12"/>
  <c r="J21" i="12"/>
  <c r="I21" i="12"/>
  <c r="H21" i="12"/>
  <c r="K19" i="12"/>
  <c r="J19" i="12"/>
  <c r="I19" i="12"/>
  <c r="H19" i="12"/>
  <c r="K18" i="12"/>
  <c r="J18" i="12"/>
  <c r="I18" i="12"/>
  <c r="H18" i="12"/>
  <c r="K16" i="12"/>
  <c r="J16" i="12"/>
  <c r="I16" i="12"/>
  <c r="H16" i="12"/>
  <c r="K15" i="12"/>
  <c r="J15" i="12"/>
  <c r="I15" i="12"/>
  <c r="H15" i="12"/>
  <c r="K14" i="12"/>
  <c r="J14" i="12"/>
  <c r="I14" i="12"/>
  <c r="H14" i="12"/>
  <c r="K13" i="12"/>
  <c r="J13" i="12"/>
  <c r="I13" i="12"/>
  <c r="H13" i="12"/>
  <c r="K12" i="12"/>
  <c r="J12" i="12"/>
  <c r="I12" i="12"/>
  <c r="H12" i="12"/>
  <c r="K11" i="12"/>
  <c r="J11" i="12"/>
  <c r="I11" i="12"/>
  <c r="H11" i="12"/>
  <c r="L11" i="12"/>
  <c r="L12" i="12"/>
  <c r="L13" i="12"/>
  <c r="L14" i="12"/>
  <c r="L25" i="12"/>
  <c r="L24" i="12"/>
  <c r="L23" i="12"/>
  <c r="L21" i="12"/>
  <c r="L19" i="12"/>
  <c r="L18" i="12"/>
  <c r="L16" i="12"/>
  <c r="L15" i="12"/>
  <c r="L25" i="10"/>
  <c r="K25" i="10"/>
  <c r="J25" i="10"/>
  <c r="I25" i="10"/>
  <c r="H25" i="10"/>
  <c r="K26" i="14"/>
  <c r="K43" i="14" s="1"/>
  <c r="J26" i="14"/>
  <c r="J43" i="14" s="1"/>
  <c r="I26" i="14"/>
  <c r="I43" i="14" s="1"/>
  <c r="H26" i="14"/>
  <c r="H43" i="14" s="1"/>
  <c r="K25" i="14"/>
  <c r="J25" i="14"/>
  <c r="I25" i="14"/>
  <c r="H25" i="14"/>
  <c r="K24" i="14"/>
  <c r="J24" i="14"/>
  <c r="I24" i="14"/>
  <c r="H24" i="14"/>
  <c r="K23" i="14"/>
  <c r="J23" i="14"/>
  <c r="I23" i="14"/>
  <c r="H23" i="14"/>
  <c r="K21" i="14"/>
  <c r="K42" i="14" s="1"/>
  <c r="J21" i="14"/>
  <c r="J42" i="14" s="1"/>
  <c r="I21" i="14"/>
  <c r="I42" i="14" s="1"/>
  <c r="H21" i="14"/>
  <c r="H42" i="14" s="1"/>
  <c r="K19" i="14"/>
  <c r="J19" i="14"/>
  <c r="I19" i="14"/>
  <c r="H19" i="14"/>
  <c r="K18" i="14"/>
  <c r="J18" i="14"/>
  <c r="I18" i="14"/>
  <c r="H18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L25" i="14"/>
  <c r="L24" i="14"/>
  <c r="L23" i="14"/>
  <c r="L21" i="14"/>
  <c r="L19" i="14"/>
  <c r="L18" i="14"/>
  <c r="L16" i="14"/>
  <c r="L15" i="14"/>
  <c r="L14" i="14"/>
  <c r="L13" i="14"/>
  <c r="L12" i="14"/>
  <c r="L11" i="14"/>
  <c r="K44" i="14"/>
  <c r="J44" i="14"/>
  <c r="I44" i="14"/>
  <c r="H44" i="14"/>
  <c r="K41" i="14"/>
  <c r="J41" i="14"/>
  <c r="I41" i="14"/>
  <c r="H41" i="14"/>
  <c r="K30" i="14"/>
  <c r="J30" i="14"/>
  <c r="I30" i="14"/>
  <c r="H30" i="14"/>
  <c r="K29" i="14"/>
  <c r="J29" i="14"/>
  <c r="I29" i="14"/>
  <c r="H29" i="14"/>
  <c r="K28" i="14"/>
  <c r="J28" i="14"/>
  <c r="I28" i="14"/>
  <c r="H28" i="14"/>
  <c r="E44" i="14"/>
  <c r="D44" i="14"/>
  <c r="C44" i="14"/>
  <c r="B44" i="14"/>
  <c r="E33" i="14"/>
  <c r="E32" i="14"/>
  <c r="D32" i="14"/>
  <c r="C32" i="14"/>
  <c r="B32" i="14"/>
  <c r="E30" i="14"/>
  <c r="D30" i="14"/>
  <c r="C30" i="14"/>
  <c r="B30" i="14"/>
  <c r="E29" i="14"/>
  <c r="D29" i="14"/>
  <c r="C29" i="14"/>
  <c r="B29" i="14"/>
  <c r="E28" i="14"/>
  <c r="D28" i="14"/>
  <c r="C28" i="14"/>
  <c r="B28" i="14"/>
  <c r="E43" i="14"/>
  <c r="B43" i="14"/>
  <c r="E25" i="14"/>
  <c r="D25" i="14"/>
  <c r="C25" i="14"/>
  <c r="B25" i="14"/>
  <c r="E24" i="14"/>
  <c r="D24" i="14"/>
  <c r="C24" i="14"/>
  <c r="B24" i="14"/>
  <c r="E23" i="14"/>
  <c r="D23" i="14"/>
  <c r="C23" i="14"/>
  <c r="B23" i="14"/>
  <c r="E21" i="14"/>
  <c r="E42" i="14" s="1"/>
  <c r="D21" i="14"/>
  <c r="D42" i="14" s="1"/>
  <c r="C21" i="14"/>
  <c r="C42" i="14" s="1"/>
  <c r="B21" i="14"/>
  <c r="B42" i="14" s="1"/>
  <c r="E41" i="14"/>
  <c r="D41" i="14"/>
  <c r="C41" i="14"/>
  <c r="B41" i="14"/>
  <c r="E19" i="14"/>
  <c r="D19" i="14"/>
  <c r="C19" i="14"/>
  <c r="B19" i="14"/>
  <c r="E18" i="14"/>
  <c r="D18" i="14"/>
  <c r="C18" i="14"/>
  <c r="B18" i="14"/>
  <c r="E16" i="14"/>
  <c r="D16" i="14"/>
  <c r="C16" i="14"/>
  <c r="B16" i="14"/>
  <c r="E15" i="14"/>
  <c r="D15" i="14"/>
  <c r="C15" i="14"/>
  <c r="B15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D11" i="14"/>
  <c r="C11" i="14"/>
  <c r="B11" i="14"/>
  <c r="K42" i="20"/>
  <c r="J42" i="20"/>
  <c r="I42" i="20"/>
  <c r="H42" i="20"/>
  <c r="K41" i="20"/>
  <c r="J41" i="20"/>
  <c r="I41" i="20"/>
  <c r="H41" i="20"/>
  <c r="K37" i="20"/>
  <c r="J37" i="20"/>
  <c r="I37" i="20"/>
  <c r="H37" i="20"/>
  <c r="K36" i="20"/>
  <c r="J36" i="20"/>
  <c r="I36" i="20"/>
  <c r="H36" i="20"/>
  <c r="H38" i="20" s="1"/>
  <c r="H39" i="20" s="1"/>
  <c r="K35" i="20"/>
  <c r="J35" i="20"/>
  <c r="I35" i="20"/>
  <c r="H35" i="20"/>
  <c r="K34" i="20"/>
  <c r="J34" i="20"/>
  <c r="I34" i="20"/>
  <c r="H34" i="20"/>
  <c r="K33" i="20"/>
  <c r="J33" i="20"/>
  <c r="I33" i="20"/>
  <c r="H33" i="20"/>
  <c r="E42" i="20"/>
  <c r="D42" i="20"/>
  <c r="C42" i="20"/>
  <c r="B42" i="20"/>
  <c r="E41" i="20"/>
  <c r="D41" i="20"/>
  <c r="C41" i="20"/>
  <c r="B41" i="20"/>
  <c r="E37" i="20"/>
  <c r="D37" i="20"/>
  <c r="C37" i="20"/>
  <c r="B37" i="20"/>
  <c r="E36" i="20"/>
  <c r="D36" i="20"/>
  <c r="C36" i="20"/>
  <c r="C38" i="20" s="1"/>
  <c r="C39" i="20" s="1"/>
  <c r="B36" i="20"/>
  <c r="E35" i="20"/>
  <c r="D35" i="20"/>
  <c r="C35" i="20"/>
  <c r="B35" i="20"/>
  <c r="E34" i="20"/>
  <c r="D34" i="20"/>
  <c r="C34" i="20"/>
  <c r="B34" i="20"/>
  <c r="E33" i="20"/>
  <c r="D33" i="20"/>
  <c r="C33" i="20"/>
  <c r="B33" i="20"/>
  <c r="J38" i="20" l="1"/>
  <c r="J39" i="20" s="1"/>
  <c r="B37" i="14"/>
  <c r="I38" i="20"/>
  <c r="I39" i="20" s="1"/>
  <c r="E37" i="14"/>
  <c r="E38" i="20"/>
  <c r="E39" i="20" s="1"/>
  <c r="K38" i="20"/>
  <c r="K39" i="20" s="1"/>
  <c r="K22" i="14"/>
  <c r="K45" i="14" s="1"/>
  <c r="B38" i="20"/>
  <c r="B39" i="20" s="1"/>
  <c r="I37" i="14"/>
  <c r="I35" i="14"/>
  <c r="J22" i="12"/>
  <c r="J45" i="12" s="1"/>
  <c r="J22" i="14"/>
  <c r="J37" i="14"/>
  <c r="H22" i="14"/>
  <c r="B35" i="14"/>
  <c r="B34" i="14"/>
  <c r="D22" i="14"/>
  <c r="D37" i="14"/>
  <c r="D38" i="20"/>
  <c r="D39" i="20" s="1"/>
  <c r="K37" i="14"/>
  <c r="C34" i="14"/>
  <c r="C35" i="14"/>
  <c r="C37" i="14"/>
  <c r="H37" i="14"/>
  <c r="I22" i="14"/>
  <c r="D35" i="14"/>
  <c r="J22" i="11"/>
  <c r="J45" i="11" s="1"/>
  <c r="K22" i="11"/>
  <c r="K45" i="11" s="1"/>
  <c r="I22" i="11"/>
  <c r="I45" i="11" s="1"/>
  <c r="L22" i="11"/>
  <c r="L45" i="11" s="1"/>
  <c r="I22" i="12"/>
  <c r="I45" i="12" s="1"/>
  <c r="K22" i="12"/>
  <c r="K45" i="12" s="1"/>
  <c r="H22" i="12"/>
  <c r="H45" i="12" s="1"/>
  <c r="H35" i="14"/>
  <c r="K35" i="14"/>
  <c r="I34" i="14"/>
  <c r="J34" i="14"/>
  <c r="K34" i="14"/>
  <c r="I33" i="14"/>
  <c r="H34" i="14"/>
  <c r="H33" i="14"/>
  <c r="J33" i="14"/>
  <c r="J35" i="14"/>
  <c r="K33" i="14"/>
  <c r="E35" i="14"/>
  <c r="B22" i="14"/>
  <c r="C43" i="14"/>
  <c r="D34" i="14"/>
  <c r="E22" i="14"/>
  <c r="E34" i="14"/>
  <c r="C22" i="14"/>
  <c r="D43" i="14"/>
  <c r="B33" i="14"/>
  <c r="C33" i="14"/>
  <c r="D33" i="14"/>
  <c r="K36" i="14" l="1"/>
  <c r="K38" i="14" s="1"/>
  <c r="K39" i="14" s="1"/>
  <c r="E36" i="14"/>
  <c r="E38" i="14" s="1"/>
  <c r="E39" i="14" s="1"/>
  <c r="E45" i="14"/>
  <c r="B36" i="14"/>
  <c r="B38" i="14" s="1"/>
  <c r="B39" i="14" s="1"/>
  <c r="B45" i="14"/>
  <c r="H36" i="14"/>
  <c r="H38" i="14" s="1"/>
  <c r="H39" i="14" s="1"/>
  <c r="H45" i="14"/>
  <c r="C36" i="14"/>
  <c r="C38" i="14" s="1"/>
  <c r="C39" i="14" s="1"/>
  <c r="C45" i="14"/>
  <c r="J36" i="14"/>
  <c r="J38" i="14" s="1"/>
  <c r="J39" i="14" s="1"/>
  <c r="J45" i="14"/>
  <c r="I36" i="14"/>
  <c r="I38" i="14" s="1"/>
  <c r="I39" i="14" s="1"/>
  <c r="I45" i="14"/>
  <c r="D36" i="14"/>
  <c r="D38" i="14" s="1"/>
  <c r="D39" i="14" s="1"/>
  <c r="D45" i="14"/>
  <c r="L44" i="11"/>
  <c r="K44" i="11"/>
  <c r="J44" i="11"/>
  <c r="I44" i="11"/>
  <c r="L30" i="11"/>
  <c r="K30" i="11"/>
  <c r="J30" i="11"/>
  <c r="I30" i="11"/>
  <c r="L29" i="11"/>
  <c r="K29" i="11"/>
  <c r="J29" i="11"/>
  <c r="I29" i="11"/>
  <c r="L28" i="11"/>
  <c r="K28" i="11"/>
  <c r="J28" i="11"/>
  <c r="I28" i="11"/>
  <c r="L43" i="11"/>
  <c r="K43" i="11"/>
  <c r="J43" i="11"/>
  <c r="I33" i="11"/>
  <c r="L42" i="11"/>
  <c r="K42" i="11"/>
  <c r="J42" i="11"/>
  <c r="I42" i="11"/>
  <c r="L41" i="11"/>
  <c r="K41" i="11"/>
  <c r="J41" i="11"/>
  <c r="I41" i="11"/>
  <c r="F44" i="11"/>
  <c r="E44" i="11"/>
  <c r="D44" i="11"/>
  <c r="C44" i="11"/>
  <c r="F32" i="11"/>
  <c r="E32" i="11"/>
  <c r="D32" i="11"/>
  <c r="C32" i="11"/>
  <c r="F30" i="11"/>
  <c r="E30" i="11"/>
  <c r="D30" i="11"/>
  <c r="C30" i="11"/>
  <c r="F29" i="11"/>
  <c r="E29" i="11"/>
  <c r="D29" i="11"/>
  <c r="C29" i="11"/>
  <c r="F28" i="11"/>
  <c r="E28" i="11"/>
  <c r="D28" i="11"/>
  <c r="C28" i="11"/>
  <c r="F26" i="11"/>
  <c r="E26" i="11"/>
  <c r="D26" i="11"/>
  <c r="C26" i="11"/>
  <c r="C33" i="11" s="1"/>
  <c r="F25" i="11"/>
  <c r="E25" i="11"/>
  <c r="D25" i="11"/>
  <c r="C25" i="11"/>
  <c r="F24" i="11"/>
  <c r="E24" i="11"/>
  <c r="D24" i="11"/>
  <c r="C24" i="11"/>
  <c r="F23" i="11"/>
  <c r="E23" i="11"/>
  <c r="D23" i="11"/>
  <c r="C23" i="11"/>
  <c r="F21" i="11"/>
  <c r="F42" i="11" s="1"/>
  <c r="E21" i="11"/>
  <c r="E42" i="11" s="1"/>
  <c r="D21" i="11"/>
  <c r="D42" i="11" s="1"/>
  <c r="C21" i="11"/>
  <c r="C42" i="11" s="1"/>
  <c r="F41" i="11"/>
  <c r="E41" i="11"/>
  <c r="D41" i="11"/>
  <c r="C41" i="11"/>
  <c r="F19" i="11"/>
  <c r="E19" i="11"/>
  <c r="D19" i="11"/>
  <c r="C19" i="11"/>
  <c r="F18" i="11"/>
  <c r="E18" i="11"/>
  <c r="D18" i="11"/>
  <c r="C18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L42" i="17"/>
  <c r="K42" i="17"/>
  <c r="J42" i="17"/>
  <c r="I42" i="17"/>
  <c r="L41" i="17"/>
  <c r="K41" i="17"/>
  <c r="J41" i="17"/>
  <c r="I41" i="17"/>
  <c r="L37" i="17"/>
  <c r="K37" i="17"/>
  <c r="J37" i="17"/>
  <c r="I37" i="17"/>
  <c r="L36" i="17"/>
  <c r="K36" i="17"/>
  <c r="J36" i="17"/>
  <c r="I36" i="17"/>
  <c r="L35" i="17"/>
  <c r="K35" i="17"/>
  <c r="J35" i="17"/>
  <c r="I35" i="17"/>
  <c r="L34" i="17"/>
  <c r="K34" i="17"/>
  <c r="J34" i="17"/>
  <c r="I34" i="17"/>
  <c r="L33" i="17"/>
  <c r="K33" i="17"/>
  <c r="J33" i="17"/>
  <c r="I33" i="17"/>
  <c r="F42" i="17"/>
  <c r="E42" i="17"/>
  <c r="D42" i="17"/>
  <c r="C42" i="17"/>
  <c r="F41" i="17"/>
  <c r="E41" i="17"/>
  <c r="D41" i="17"/>
  <c r="C41" i="17"/>
  <c r="F37" i="17"/>
  <c r="E37" i="17"/>
  <c r="D37" i="17"/>
  <c r="C37" i="17"/>
  <c r="F36" i="17"/>
  <c r="E36" i="17"/>
  <c r="D36" i="17"/>
  <c r="C36" i="17"/>
  <c r="F35" i="17"/>
  <c r="E35" i="17"/>
  <c r="D35" i="17"/>
  <c r="C35" i="17"/>
  <c r="F34" i="17"/>
  <c r="E34" i="17"/>
  <c r="D34" i="17"/>
  <c r="C34" i="17"/>
  <c r="F33" i="17"/>
  <c r="E33" i="17"/>
  <c r="D33" i="17"/>
  <c r="C33" i="17"/>
  <c r="L42" i="18"/>
  <c r="K42" i="18"/>
  <c r="J42" i="18"/>
  <c r="I42" i="18"/>
  <c r="L41" i="18"/>
  <c r="K41" i="18"/>
  <c r="J41" i="18"/>
  <c r="I41" i="18"/>
  <c r="F42" i="18"/>
  <c r="E42" i="18"/>
  <c r="D42" i="18"/>
  <c r="C42" i="18"/>
  <c r="F41" i="18"/>
  <c r="E41" i="18"/>
  <c r="D41" i="18"/>
  <c r="C41" i="18"/>
  <c r="L42" i="15"/>
  <c r="K42" i="15"/>
  <c r="J42" i="15"/>
  <c r="I42" i="15"/>
  <c r="L41" i="15"/>
  <c r="K41" i="15"/>
  <c r="J41" i="15"/>
  <c r="I41" i="15"/>
  <c r="F42" i="15"/>
  <c r="E42" i="15"/>
  <c r="D42" i="15"/>
  <c r="C42" i="15"/>
  <c r="F41" i="15"/>
  <c r="E41" i="15"/>
  <c r="D41" i="15"/>
  <c r="C41" i="15"/>
  <c r="L42" i="16"/>
  <c r="K42" i="16"/>
  <c r="J42" i="16"/>
  <c r="I42" i="16"/>
  <c r="L41" i="16"/>
  <c r="K41" i="16"/>
  <c r="J41" i="16"/>
  <c r="I41" i="16"/>
  <c r="F42" i="16"/>
  <c r="E42" i="16"/>
  <c r="D42" i="16"/>
  <c r="C42" i="16"/>
  <c r="F41" i="16"/>
  <c r="E41" i="16"/>
  <c r="D41" i="16"/>
  <c r="C41" i="16"/>
  <c r="E38" i="17" l="1"/>
  <c r="E39" i="17" s="1"/>
  <c r="F38" i="17"/>
  <c r="F39" i="17" s="1"/>
  <c r="D38" i="17"/>
  <c r="D39" i="17" s="1"/>
  <c r="K37" i="11"/>
  <c r="L38" i="17"/>
  <c r="L39" i="17" s="1"/>
  <c r="K38" i="17"/>
  <c r="K39" i="17" s="1"/>
  <c r="J38" i="17"/>
  <c r="J39" i="17" s="1"/>
  <c r="I38" i="17"/>
  <c r="I39" i="17" s="1"/>
  <c r="C38" i="17"/>
  <c r="C39" i="17" s="1"/>
  <c r="J37" i="11"/>
  <c r="J34" i="11"/>
  <c r="I43" i="11"/>
  <c r="I37" i="11"/>
  <c r="L37" i="11"/>
  <c r="C37" i="11"/>
  <c r="D22" i="11"/>
  <c r="D37" i="11"/>
  <c r="E34" i="11"/>
  <c r="E37" i="11"/>
  <c r="F37" i="11"/>
  <c r="I34" i="11"/>
  <c r="K35" i="11"/>
  <c r="L35" i="11"/>
  <c r="C35" i="11"/>
  <c r="D35" i="11"/>
  <c r="E35" i="11"/>
  <c r="F35" i="11"/>
  <c r="L34" i="11"/>
  <c r="I35" i="11"/>
  <c r="J36" i="11"/>
  <c r="J33" i="11"/>
  <c r="J35" i="11"/>
  <c r="K34" i="11"/>
  <c r="I36" i="11"/>
  <c r="K36" i="11"/>
  <c r="K33" i="11"/>
  <c r="L36" i="11"/>
  <c r="L33" i="11"/>
  <c r="C22" i="11"/>
  <c r="C34" i="11"/>
  <c r="C43" i="11"/>
  <c r="D43" i="11"/>
  <c r="E43" i="11"/>
  <c r="F34" i="11"/>
  <c r="D33" i="11"/>
  <c r="D34" i="11"/>
  <c r="E22" i="11"/>
  <c r="F22" i="11"/>
  <c r="E33" i="11"/>
  <c r="F43" i="11"/>
  <c r="F33" i="11"/>
  <c r="L44" i="12"/>
  <c r="K44" i="12"/>
  <c r="J44" i="12"/>
  <c r="I44" i="12"/>
  <c r="K41" i="12"/>
  <c r="L30" i="12"/>
  <c r="K30" i="12"/>
  <c r="J30" i="12"/>
  <c r="I30" i="12"/>
  <c r="L29" i="12"/>
  <c r="K29" i="12"/>
  <c r="J29" i="12"/>
  <c r="I29" i="12"/>
  <c r="L28" i="12"/>
  <c r="K28" i="12"/>
  <c r="J28" i="12"/>
  <c r="I28" i="12"/>
  <c r="L26" i="12"/>
  <c r="L43" i="12" s="1"/>
  <c r="K43" i="12"/>
  <c r="L42" i="12"/>
  <c r="K42" i="12"/>
  <c r="J42" i="12"/>
  <c r="I42" i="12"/>
  <c r="L41" i="12"/>
  <c r="J41" i="12"/>
  <c r="I41" i="12"/>
  <c r="K35" i="12"/>
  <c r="J35" i="12"/>
  <c r="F44" i="12"/>
  <c r="E44" i="12"/>
  <c r="D44" i="12"/>
  <c r="C44" i="12"/>
  <c r="F32" i="12"/>
  <c r="E32" i="12"/>
  <c r="D32" i="12"/>
  <c r="C32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6" i="12"/>
  <c r="E26" i="12"/>
  <c r="D26" i="12"/>
  <c r="D43" i="12" s="1"/>
  <c r="C26" i="12"/>
  <c r="C43" i="12" s="1"/>
  <c r="F25" i="12"/>
  <c r="E25" i="12"/>
  <c r="D25" i="12"/>
  <c r="C25" i="12"/>
  <c r="F24" i="12"/>
  <c r="E24" i="12"/>
  <c r="D24" i="12"/>
  <c r="C24" i="12"/>
  <c r="F23" i="12"/>
  <c r="E23" i="12"/>
  <c r="D23" i="12"/>
  <c r="C23" i="12"/>
  <c r="F21" i="12"/>
  <c r="F42" i="12" s="1"/>
  <c r="E21" i="12"/>
  <c r="E42" i="12" s="1"/>
  <c r="D21" i="12"/>
  <c r="D42" i="12" s="1"/>
  <c r="C21" i="12"/>
  <c r="C42" i="12" s="1"/>
  <c r="F41" i="12"/>
  <c r="E41" i="12"/>
  <c r="D41" i="12"/>
  <c r="C41" i="12"/>
  <c r="F19" i="12"/>
  <c r="E19" i="12"/>
  <c r="D19" i="12"/>
  <c r="C19" i="12"/>
  <c r="F18" i="12"/>
  <c r="E18" i="12"/>
  <c r="D18" i="12"/>
  <c r="C18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L37" i="18"/>
  <c r="K37" i="18"/>
  <c r="J37" i="18"/>
  <c r="I37" i="18"/>
  <c r="L36" i="18"/>
  <c r="K36" i="18"/>
  <c r="J36" i="18"/>
  <c r="I36" i="18"/>
  <c r="L35" i="18"/>
  <c r="K35" i="18"/>
  <c r="J35" i="18"/>
  <c r="I35" i="18"/>
  <c r="L34" i="18"/>
  <c r="K34" i="18"/>
  <c r="J34" i="18"/>
  <c r="I34" i="18"/>
  <c r="L33" i="18"/>
  <c r="K33" i="18"/>
  <c r="J33" i="18"/>
  <c r="I33" i="18"/>
  <c r="F37" i="18"/>
  <c r="E37" i="18"/>
  <c r="D37" i="18"/>
  <c r="C37" i="18"/>
  <c r="F36" i="18"/>
  <c r="E36" i="18"/>
  <c r="D36" i="18"/>
  <c r="C36" i="18"/>
  <c r="F35" i="18"/>
  <c r="E35" i="18"/>
  <c r="D35" i="18"/>
  <c r="C35" i="18"/>
  <c r="F34" i="18"/>
  <c r="E34" i="18"/>
  <c r="D34" i="18"/>
  <c r="C34" i="18"/>
  <c r="F33" i="18"/>
  <c r="E33" i="18"/>
  <c r="D33" i="18"/>
  <c r="C33" i="18"/>
  <c r="E38" i="18" l="1"/>
  <c r="E39" i="18" s="1"/>
  <c r="C38" i="18"/>
  <c r="C39" i="18" s="1"/>
  <c r="F36" i="11"/>
  <c r="F38" i="11" s="1"/>
  <c r="F39" i="11" s="1"/>
  <c r="F45" i="11"/>
  <c r="E36" i="11"/>
  <c r="E38" i="11" s="1"/>
  <c r="E39" i="11" s="1"/>
  <c r="E45" i="11"/>
  <c r="C36" i="11"/>
  <c r="C38" i="11" s="1"/>
  <c r="C39" i="11" s="1"/>
  <c r="C45" i="11"/>
  <c r="D36" i="11"/>
  <c r="D38" i="11" s="1"/>
  <c r="D39" i="11" s="1"/>
  <c r="D45" i="11"/>
  <c r="L37" i="12"/>
  <c r="J37" i="12"/>
  <c r="F35" i="12"/>
  <c r="C35" i="12"/>
  <c r="E35" i="12"/>
  <c r="K38" i="11"/>
  <c r="K39" i="11" s="1"/>
  <c r="I38" i="18"/>
  <c r="I39" i="18" s="1"/>
  <c r="D38" i="18"/>
  <c r="D39" i="18" s="1"/>
  <c r="F38" i="18"/>
  <c r="F39" i="18" s="1"/>
  <c r="I37" i="12"/>
  <c r="D35" i="12"/>
  <c r="L38" i="11"/>
  <c r="L39" i="11" s="1"/>
  <c r="J38" i="11"/>
  <c r="J39" i="11" s="1"/>
  <c r="I38" i="11"/>
  <c r="I39" i="11" s="1"/>
  <c r="L38" i="18"/>
  <c r="L39" i="18" s="1"/>
  <c r="K38" i="18"/>
  <c r="K39" i="18" s="1"/>
  <c r="J38" i="18"/>
  <c r="J39" i="18" s="1"/>
  <c r="L35" i="12"/>
  <c r="K37" i="12"/>
  <c r="F22" i="12"/>
  <c r="F45" i="12" s="1"/>
  <c r="F37" i="12"/>
  <c r="E37" i="12"/>
  <c r="E34" i="12"/>
  <c r="D37" i="12"/>
  <c r="C34" i="12"/>
  <c r="C37" i="12"/>
  <c r="K34" i="12"/>
  <c r="I34" i="12"/>
  <c r="I36" i="12"/>
  <c r="I43" i="12"/>
  <c r="J34" i="12"/>
  <c r="J43" i="12"/>
  <c r="L34" i="12"/>
  <c r="I35" i="12"/>
  <c r="J36" i="12"/>
  <c r="J33" i="12"/>
  <c r="K36" i="12"/>
  <c r="K33" i="12"/>
  <c r="I33" i="12"/>
  <c r="L22" i="12"/>
  <c r="L45" i="12" s="1"/>
  <c r="L33" i="12"/>
  <c r="C22" i="12"/>
  <c r="C45" i="12" s="1"/>
  <c r="D22" i="12"/>
  <c r="D45" i="12" s="1"/>
  <c r="D34" i="12"/>
  <c r="E22" i="12"/>
  <c r="E45" i="12" s="1"/>
  <c r="F34" i="12"/>
  <c r="F43" i="12"/>
  <c r="E43" i="12"/>
  <c r="D33" i="12"/>
  <c r="C33" i="12"/>
  <c r="E33" i="12"/>
  <c r="F33" i="12"/>
  <c r="L44" i="10"/>
  <c r="K44" i="10"/>
  <c r="J44" i="10"/>
  <c r="I44" i="10"/>
  <c r="L30" i="10"/>
  <c r="K30" i="10"/>
  <c r="J30" i="10"/>
  <c r="I30" i="10"/>
  <c r="L29" i="10"/>
  <c r="K29" i="10"/>
  <c r="J29" i="10"/>
  <c r="I29" i="10"/>
  <c r="L28" i="10"/>
  <c r="K28" i="10"/>
  <c r="J28" i="10"/>
  <c r="I28" i="10"/>
  <c r="L43" i="10"/>
  <c r="K43" i="10"/>
  <c r="J43" i="10"/>
  <c r="I33" i="10"/>
  <c r="L24" i="10"/>
  <c r="K24" i="10"/>
  <c r="J24" i="10"/>
  <c r="I24" i="10"/>
  <c r="L23" i="10"/>
  <c r="K23" i="10"/>
  <c r="J23" i="10"/>
  <c r="I23" i="10"/>
  <c r="L21" i="10"/>
  <c r="L42" i="10" s="1"/>
  <c r="K21" i="10"/>
  <c r="K42" i="10" s="1"/>
  <c r="J21" i="10"/>
  <c r="J42" i="10" s="1"/>
  <c r="I21" i="10"/>
  <c r="I42" i="10" s="1"/>
  <c r="L20" i="10"/>
  <c r="L41" i="10" s="1"/>
  <c r="K20" i="10"/>
  <c r="K41" i="10" s="1"/>
  <c r="J20" i="10"/>
  <c r="J41" i="10" s="1"/>
  <c r="I20" i="10"/>
  <c r="I41" i="10" s="1"/>
  <c r="L19" i="10"/>
  <c r="K19" i="10"/>
  <c r="J19" i="10"/>
  <c r="I19" i="10"/>
  <c r="L18" i="10"/>
  <c r="K18" i="10"/>
  <c r="J18" i="10"/>
  <c r="I18" i="10"/>
  <c r="L17" i="10"/>
  <c r="K17" i="10"/>
  <c r="J17" i="10"/>
  <c r="I17" i="10"/>
  <c r="L16" i="10"/>
  <c r="K16" i="10"/>
  <c r="J16" i="10"/>
  <c r="I16" i="10"/>
  <c r="L15" i="10"/>
  <c r="K15" i="10"/>
  <c r="J15" i="10"/>
  <c r="I15" i="10"/>
  <c r="L14" i="10"/>
  <c r="K14" i="10"/>
  <c r="J14" i="10"/>
  <c r="I14" i="10"/>
  <c r="L13" i="10"/>
  <c r="K13" i="10"/>
  <c r="J13" i="10"/>
  <c r="I13" i="10"/>
  <c r="L12" i="10"/>
  <c r="K12" i="10"/>
  <c r="J12" i="10"/>
  <c r="I12" i="10"/>
  <c r="L11" i="10"/>
  <c r="K11" i="10"/>
  <c r="J11" i="10"/>
  <c r="I11" i="10"/>
  <c r="F44" i="10"/>
  <c r="E44" i="10"/>
  <c r="D44" i="10"/>
  <c r="C44" i="10"/>
  <c r="F32" i="10"/>
  <c r="E32" i="10"/>
  <c r="D32" i="10"/>
  <c r="C32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1" i="10"/>
  <c r="F42" i="10" s="1"/>
  <c r="E21" i="10"/>
  <c r="E42" i="10" s="1"/>
  <c r="D21" i="10"/>
  <c r="D42" i="10" s="1"/>
  <c r="C21" i="10"/>
  <c r="C42" i="10" s="1"/>
  <c r="F41" i="10"/>
  <c r="E41" i="10"/>
  <c r="D41" i="10"/>
  <c r="C41" i="10"/>
  <c r="F19" i="10"/>
  <c r="E19" i="10"/>
  <c r="D19" i="10"/>
  <c r="C19" i="10"/>
  <c r="F18" i="10"/>
  <c r="E18" i="10"/>
  <c r="D18" i="10"/>
  <c r="C18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L37" i="15"/>
  <c r="K37" i="15"/>
  <c r="J37" i="15"/>
  <c r="I37" i="15"/>
  <c r="L36" i="15"/>
  <c r="K36" i="15"/>
  <c r="J36" i="15"/>
  <c r="I36" i="15"/>
  <c r="L35" i="15"/>
  <c r="K35" i="15"/>
  <c r="J35" i="15"/>
  <c r="I35" i="15"/>
  <c r="L34" i="15"/>
  <c r="K34" i="15"/>
  <c r="J34" i="15"/>
  <c r="I34" i="15"/>
  <c r="L33" i="15"/>
  <c r="K33" i="15"/>
  <c r="J33" i="15"/>
  <c r="I33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4" i="15"/>
  <c r="E34" i="15"/>
  <c r="D34" i="15"/>
  <c r="C34" i="15"/>
  <c r="F33" i="15"/>
  <c r="E33" i="15"/>
  <c r="D33" i="15"/>
  <c r="C33" i="15"/>
  <c r="K38" i="15" l="1"/>
  <c r="K39" i="15" s="1"/>
  <c r="J38" i="15"/>
  <c r="J39" i="15" s="1"/>
  <c r="D36" i="12"/>
  <c r="D38" i="12" s="1"/>
  <c r="D39" i="12" s="1"/>
  <c r="C36" i="12"/>
  <c r="C38" i="12" s="1"/>
  <c r="C39" i="12" s="1"/>
  <c r="E36" i="12"/>
  <c r="E38" i="12" s="1"/>
  <c r="E39" i="12" s="1"/>
  <c r="F36" i="12"/>
  <c r="F38" i="12" s="1"/>
  <c r="F39" i="12" s="1"/>
  <c r="L36" i="12"/>
  <c r="L38" i="12" s="1"/>
  <c r="L39" i="12" s="1"/>
  <c r="I38" i="15"/>
  <c r="I39" i="15" s="1"/>
  <c r="K37" i="10"/>
  <c r="L37" i="10"/>
  <c r="J38" i="12"/>
  <c r="J39" i="12" s="1"/>
  <c r="F38" i="15"/>
  <c r="F39" i="15" s="1"/>
  <c r="K38" i="12"/>
  <c r="K39" i="12" s="1"/>
  <c r="I38" i="12"/>
  <c r="I39" i="12" s="1"/>
  <c r="C35" i="10"/>
  <c r="L38" i="15"/>
  <c r="L39" i="15" s="1"/>
  <c r="C38" i="15"/>
  <c r="C39" i="15" s="1"/>
  <c r="J37" i="10"/>
  <c r="I43" i="10"/>
  <c r="I37" i="10"/>
  <c r="F37" i="10"/>
  <c r="D35" i="10"/>
  <c r="D37" i="10"/>
  <c r="F22" i="10"/>
  <c r="F45" i="10" s="1"/>
  <c r="J34" i="10"/>
  <c r="K35" i="10"/>
  <c r="L35" i="10"/>
  <c r="E37" i="10"/>
  <c r="C37" i="10"/>
  <c r="E35" i="10"/>
  <c r="F35" i="10"/>
  <c r="C22" i="10"/>
  <c r="C45" i="10" s="1"/>
  <c r="I34" i="10"/>
  <c r="I35" i="10"/>
  <c r="J22" i="10"/>
  <c r="J45" i="10" s="1"/>
  <c r="J33" i="10"/>
  <c r="J35" i="10"/>
  <c r="K34" i="10"/>
  <c r="L34" i="10"/>
  <c r="I22" i="10"/>
  <c r="I45" i="10" s="1"/>
  <c r="K22" i="10"/>
  <c r="K45" i="10" s="1"/>
  <c r="K33" i="10"/>
  <c r="L22" i="10"/>
  <c r="L45" i="10" s="1"/>
  <c r="L33" i="10"/>
  <c r="C34" i="10"/>
  <c r="D22" i="10"/>
  <c r="D45" i="10" s="1"/>
  <c r="D34" i="10"/>
  <c r="D43" i="10"/>
  <c r="E22" i="10"/>
  <c r="E45" i="10" s="1"/>
  <c r="E34" i="10"/>
  <c r="E43" i="10"/>
  <c r="F34" i="10"/>
  <c r="F43" i="10"/>
  <c r="C33" i="10"/>
  <c r="D33" i="10"/>
  <c r="C43" i="10"/>
  <c r="E33" i="10"/>
  <c r="F33" i="10"/>
  <c r="D38" i="15"/>
  <c r="D39" i="15" s="1"/>
  <c r="E38" i="15"/>
  <c r="E39" i="15" s="1"/>
  <c r="C36" i="10" l="1"/>
  <c r="C38" i="10" s="1"/>
  <c r="C39" i="10" s="1"/>
  <c r="L36" i="10"/>
  <c r="L38" i="10" s="1"/>
  <c r="L39" i="10" s="1"/>
  <c r="J36" i="10"/>
  <c r="J38" i="10" s="1"/>
  <c r="J39" i="10" s="1"/>
  <c r="E36" i="10"/>
  <c r="E38" i="10" s="1"/>
  <c r="E39" i="10" s="1"/>
  <c r="I36" i="10"/>
  <c r="I38" i="10" s="1"/>
  <c r="I39" i="10" s="1"/>
  <c r="F36" i="10"/>
  <c r="F38" i="10" s="1"/>
  <c r="F39" i="10" s="1"/>
  <c r="K36" i="10"/>
  <c r="K38" i="10" s="1"/>
  <c r="K39" i="10" s="1"/>
  <c r="D36" i="10"/>
  <c r="D38" i="10" s="1"/>
  <c r="D39" i="10" s="1"/>
  <c r="L44" i="4" l="1"/>
  <c r="K44" i="4"/>
  <c r="J44" i="4"/>
  <c r="I44" i="4"/>
  <c r="L30" i="4"/>
  <c r="K30" i="4"/>
  <c r="J30" i="4"/>
  <c r="I30" i="4"/>
  <c r="L29" i="4"/>
  <c r="K29" i="4"/>
  <c r="J29" i="4"/>
  <c r="I29" i="4"/>
  <c r="L28" i="4"/>
  <c r="K28" i="4"/>
  <c r="J28" i="4"/>
  <c r="I28" i="4"/>
  <c r="L26" i="4"/>
  <c r="L43" i="4" s="1"/>
  <c r="K26" i="4"/>
  <c r="K43" i="4" s="1"/>
  <c r="J26" i="4"/>
  <c r="J43" i="4" s="1"/>
  <c r="I26" i="4"/>
  <c r="I43" i="4" s="1"/>
  <c r="L25" i="4"/>
  <c r="K25" i="4"/>
  <c r="J25" i="4"/>
  <c r="I25" i="4"/>
  <c r="L24" i="4"/>
  <c r="K24" i="4"/>
  <c r="J24" i="4"/>
  <c r="I24" i="4"/>
  <c r="L23" i="4"/>
  <c r="K23" i="4"/>
  <c r="J23" i="4"/>
  <c r="I23" i="4"/>
  <c r="L21" i="4"/>
  <c r="L42" i="4" s="1"/>
  <c r="K21" i="4"/>
  <c r="K42" i="4" s="1"/>
  <c r="J21" i="4"/>
  <c r="J42" i="4" s="1"/>
  <c r="I21" i="4"/>
  <c r="I42" i="4" s="1"/>
  <c r="L20" i="4"/>
  <c r="L41" i="4" s="1"/>
  <c r="K20" i="4"/>
  <c r="K41" i="4" s="1"/>
  <c r="J20" i="4"/>
  <c r="J41" i="4" s="1"/>
  <c r="I20" i="4"/>
  <c r="I41" i="4" s="1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L15" i="4"/>
  <c r="K15" i="4"/>
  <c r="J15" i="4"/>
  <c r="I15" i="4"/>
  <c r="L14" i="4"/>
  <c r="K14" i="4"/>
  <c r="J14" i="4"/>
  <c r="I14" i="4"/>
  <c r="L13" i="4"/>
  <c r="K13" i="4"/>
  <c r="J13" i="4"/>
  <c r="I13" i="4"/>
  <c r="L12" i="4"/>
  <c r="K12" i="4"/>
  <c r="J12" i="4"/>
  <c r="I12" i="4"/>
  <c r="L11" i="4"/>
  <c r="K11" i="4"/>
  <c r="J11" i="4"/>
  <c r="I11" i="4"/>
  <c r="F44" i="4"/>
  <c r="E44" i="4"/>
  <c r="D44" i="4"/>
  <c r="C44" i="4"/>
  <c r="F32" i="4"/>
  <c r="E32" i="4"/>
  <c r="D32" i="4"/>
  <c r="C32" i="4"/>
  <c r="F30" i="4"/>
  <c r="E30" i="4"/>
  <c r="D30" i="4"/>
  <c r="C30" i="4"/>
  <c r="F29" i="4"/>
  <c r="E29" i="4"/>
  <c r="D29" i="4"/>
  <c r="C29" i="4"/>
  <c r="F28" i="4"/>
  <c r="E28" i="4"/>
  <c r="D28" i="4"/>
  <c r="C28" i="4"/>
  <c r="F26" i="4"/>
  <c r="F33" i="4" s="1"/>
  <c r="E26" i="4"/>
  <c r="D26" i="4"/>
  <c r="D43" i="4" s="1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1" i="4"/>
  <c r="F42" i="4" s="1"/>
  <c r="E21" i="4"/>
  <c r="E42" i="4" s="1"/>
  <c r="D21" i="4"/>
  <c r="D42" i="4" s="1"/>
  <c r="C21" i="4"/>
  <c r="C42" i="4" s="1"/>
  <c r="F41" i="4"/>
  <c r="E41" i="4"/>
  <c r="D41" i="4"/>
  <c r="C41" i="4"/>
  <c r="F19" i="4"/>
  <c r="E19" i="4"/>
  <c r="D19" i="4"/>
  <c r="C19" i="4"/>
  <c r="F18" i="4"/>
  <c r="E18" i="4"/>
  <c r="D18" i="4"/>
  <c r="C18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L37" i="16"/>
  <c r="K37" i="16"/>
  <c r="J37" i="16"/>
  <c r="I37" i="16"/>
  <c r="L36" i="16"/>
  <c r="K36" i="16"/>
  <c r="J36" i="16"/>
  <c r="I36" i="16"/>
  <c r="L35" i="16"/>
  <c r="K35" i="16"/>
  <c r="J35" i="16"/>
  <c r="I35" i="16"/>
  <c r="L34" i="16"/>
  <c r="K34" i="16"/>
  <c r="J34" i="16"/>
  <c r="I34" i="16"/>
  <c r="L33" i="16"/>
  <c r="K33" i="16"/>
  <c r="J33" i="16"/>
  <c r="I33" i="16"/>
  <c r="F37" i="16"/>
  <c r="E37" i="16"/>
  <c r="D37" i="16"/>
  <c r="C37" i="16"/>
  <c r="F36" i="16"/>
  <c r="E36" i="16"/>
  <c r="D36" i="16"/>
  <c r="C36" i="16"/>
  <c r="F35" i="16"/>
  <c r="E35" i="16"/>
  <c r="D35" i="16"/>
  <c r="C35" i="16"/>
  <c r="F34" i="16"/>
  <c r="E34" i="16"/>
  <c r="D34" i="16"/>
  <c r="C34" i="16"/>
  <c r="F33" i="16"/>
  <c r="E33" i="16"/>
  <c r="D33" i="16"/>
  <c r="C33" i="16"/>
  <c r="D38" i="16" l="1"/>
  <c r="D39" i="16" s="1"/>
  <c r="I38" i="16"/>
  <c r="I39" i="16" s="1"/>
  <c r="E38" i="16"/>
  <c r="E39" i="16" s="1"/>
  <c r="J38" i="16"/>
  <c r="J39" i="16" s="1"/>
  <c r="L38" i="16"/>
  <c r="L39" i="16" s="1"/>
  <c r="K38" i="16"/>
  <c r="K39" i="16" s="1"/>
  <c r="I37" i="4"/>
  <c r="L37" i="4"/>
  <c r="J37" i="4"/>
  <c r="K37" i="4"/>
  <c r="F37" i="4"/>
  <c r="E37" i="4"/>
  <c r="D34" i="4"/>
  <c r="D37" i="4"/>
  <c r="C37" i="4"/>
  <c r="L35" i="4"/>
  <c r="I35" i="4"/>
  <c r="J35" i="4"/>
  <c r="K35" i="4"/>
  <c r="C35" i="4"/>
  <c r="D35" i="4"/>
  <c r="E35" i="4"/>
  <c r="F35" i="4"/>
  <c r="I34" i="4"/>
  <c r="J34" i="4"/>
  <c r="K34" i="4"/>
  <c r="L34" i="4"/>
  <c r="J22" i="4"/>
  <c r="J45" i="4" s="1"/>
  <c r="J33" i="4"/>
  <c r="K22" i="4"/>
  <c r="K45" i="4" s="1"/>
  <c r="K33" i="4"/>
  <c r="I22" i="4"/>
  <c r="I45" i="4" s="1"/>
  <c r="I33" i="4"/>
  <c r="L22" i="4"/>
  <c r="L45" i="4" s="1"/>
  <c r="L33" i="4"/>
  <c r="C22" i="4"/>
  <c r="C45" i="4" s="1"/>
  <c r="C34" i="4"/>
  <c r="E22" i="4"/>
  <c r="E45" i="4" s="1"/>
  <c r="E34" i="4"/>
  <c r="F22" i="4"/>
  <c r="F45" i="4" s="1"/>
  <c r="F34" i="4"/>
  <c r="F43" i="4"/>
  <c r="E43" i="4"/>
  <c r="D33" i="4"/>
  <c r="C43" i="4"/>
  <c r="D22" i="4"/>
  <c r="D45" i="4" s="1"/>
  <c r="C33" i="4"/>
  <c r="E33" i="4"/>
  <c r="F38" i="16"/>
  <c r="F39" i="16" s="1"/>
  <c r="C38" i="16"/>
  <c r="C39" i="16" s="1"/>
  <c r="L36" i="4" l="1"/>
  <c r="L38" i="4" s="1"/>
  <c r="L39" i="4" s="1"/>
  <c r="I36" i="4"/>
  <c r="I38" i="4" s="1"/>
  <c r="I39" i="4" s="1"/>
  <c r="D36" i="4"/>
  <c r="D38" i="4" s="1"/>
  <c r="D39" i="4" s="1"/>
  <c r="E36" i="4"/>
  <c r="E38" i="4" s="1"/>
  <c r="E39" i="4" s="1"/>
  <c r="K36" i="4"/>
  <c r="K38" i="4" s="1"/>
  <c r="K39" i="4" s="1"/>
  <c r="F36" i="4"/>
  <c r="F38" i="4" s="1"/>
  <c r="F39" i="4" s="1"/>
  <c r="C36" i="4"/>
  <c r="C38" i="4" s="1"/>
  <c r="C39" i="4" s="1"/>
  <c r="J36" i="4"/>
  <c r="J38" i="4" s="1"/>
  <c r="J39" i="4" s="1"/>
  <c r="B36" i="16" l="1"/>
  <c r="H36" i="16" l="1"/>
  <c r="B25" i="25" l="1"/>
  <c r="F25" i="14" l="1"/>
  <c r="B25" i="12"/>
  <c r="B25" i="13"/>
  <c r="B25" i="11"/>
  <c r="B25" i="10"/>
  <c r="H23" i="10" l="1"/>
  <c r="H21" i="10"/>
  <c r="H20" i="10"/>
  <c r="H19" i="10"/>
  <c r="H18" i="10"/>
  <c r="H17" i="10"/>
  <c r="H16" i="10"/>
  <c r="H15" i="10"/>
  <c r="H14" i="10"/>
  <c r="H13" i="10"/>
  <c r="H12" i="10"/>
  <c r="H24" i="10"/>
  <c r="H11" i="10"/>
  <c r="H25" i="4" l="1"/>
  <c r="H23" i="4"/>
  <c r="H21" i="4"/>
  <c r="H20" i="4"/>
  <c r="H19" i="4"/>
  <c r="H18" i="4"/>
  <c r="H17" i="4"/>
  <c r="H16" i="4"/>
  <c r="H15" i="4"/>
  <c r="H14" i="4"/>
  <c r="H13" i="4"/>
  <c r="H12" i="4"/>
  <c r="H11" i="4"/>
  <c r="H24" i="4"/>
  <c r="B32" i="25"/>
  <c r="M32" i="25" s="1"/>
  <c r="H30" i="25"/>
  <c r="B30" i="25"/>
  <c r="H29" i="25"/>
  <c r="B29" i="25"/>
  <c r="H28" i="25"/>
  <c r="B28" i="25"/>
  <c r="H26" i="25"/>
  <c r="H43" i="25" s="1"/>
  <c r="B26" i="25"/>
  <c r="B33" i="25" s="1"/>
  <c r="B24" i="25"/>
  <c r="B23" i="25"/>
  <c r="H42" i="25"/>
  <c r="B21" i="25"/>
  <c r="B42" i="25" s="1"/>
  <c r="H41" i="25"/>
  <c r="B41" i="25"/>
  <c r="B19" i="25"/>
  <c r="B18" i="25"/>
  <c r="B16" i="25"/>
  <c r="B15" i="25"/>
  <c r="B14" i="25"/>
  <c r="B13" i="25"/>
  <c r="B12" i="25"/>
  <c r="B11" i="25"/>
  <c r="H44" i="25"/>
  <c r="B44" i="25"/>
  <c r="H42" i="24"/>
  <c r="B42" i="24"/>
  <c r="H41" i="24"/>
  <c r="B41" i="24"/>
  <c r="H37" i="24"/>
  <c r="B37" i="24"/>
  <c r="H36" i="24"/>
  <c r="B36" i="24"/>
  <c r="H35" i="24"/>
  <c r="B35" i="24"/>
  <c r="H34" i="24"/>
  <c r="B34" i="24"/>
  <c r="H33" i="24"/>
  <c r="B33" i="24"/>
  <c r="H38" i="24" l="1"/>
  <c r="H39" i="24" s="1"/>
  <c r="M42" i="24"/>
  <c r="M33" i="24"/>
  <c r="H33" i="25"/>
  <c r="M37" i="24"/>
  <c r="B38" i="24"/>
  <c r="M38" i="24" s="1"/>
  <c r="M34" i="24"/>
  <c r="M41" i="24"/>
  <c r="M35" i="24"/>
  <c r="H22" i="4"/>
  <c r="H45" i="4" s="1"/>
  <c r="M33" i="25"/>
  <c r="I5" i="39" s="1"/>
  <c r="M42" i="25"/>
  <c r="M44" i="25"/>
  <c r="I4" i="39" s="1"/>
  <c r="H37" i="25"/>
  <c r="B37" i="25"/>
  <c r="M41" i="25"/>
  <c r="H35" i="25"/>
  <c r="H34" i="25"/>
  <c r="B35" i="25"/>
  <c r="B43" i="25"/>
  <c r="M43" i="25" s="1"/>
  <c r="I16" i="39" s="1"/>
  <c r="B34" i="25"/>
  <c r="B22" i="25"/>
  <c r="H22" i="25"/>
  <c r="M36" i="24"/>
  <c r="B25" i="4"/>
  <c r="H36" i="25" l="1"/>
  <c r="H38" i="25" s="1"/>
  <c r="H39" i="25" s="1"/>
  <c r="H45" i="25"/>
  <c r="B36" i="25"/>
  <c r="B45" i="25"/>
  <c r="H36" i="4"/>
  <c r="B39" i="24"/>
  <c r="M37" i="25"/>
  <c r="M35" i="25"/>
  <c r="I8" i="39" s="1"/>
  <c r="M34" i="25"/>
  <c r="I7" i="39" s="1"/>
  <c r="L33" i="20"/>
  <c r="F33" i="20"/>
  <c r="H33" i="19"/>
  <c r="B33" i="19"/>
  <c r="H33" i="17"/>
  <c r="B33" i="17"/>
  <c r="H33" i="18"/>
  <c r="B33" i="18"/>
  <c r="H33" i="16"/>
  <c r="B33" i="16"/>
  <c r="H33" i="15"/>
  <c r="B33" i="15"/>
  <c r="M45" i="25" l="1"/>
  <c r="M36" i="25"/>
  <c r="B38" i="25"/>
  <c r="M38" i="25" s="1"/>
  <c r="L42" i="20"/>
  <c r="F42" i="20"/>
  <c r="H42" i="19"/>
  <c r="B42" i="19"/>
  <c r="H42" i="17"/>
  <c r="B42" i="17"/>
  <c r="H42" i="18"/>
  <c r="B42" i="18"/>
  <c r="H42" i="16"/>
  <c r="B42" i="16"/>
  <c r="H42" i="15"/>
  <c r="B42" i="15"/>
  <c r="L41" i="20"/>
  <c r="F41" i="20"/>
  <c r="H41" i="19"/>
  <c r="B41" i="19"/>
  <c r="H41" i="17"/>
  <c r="B41" i="17"/>
  <c r="H41" i="18"/>
  <c r="B41" i="18"/>
  <c r="H41" i="16"/>
  <c r="B41" i="16"/>
  <c r="H41" i="15"/>
  <c r="B41" i="15"/>
  <c r="L36" i="20"/>
  <c r="F36" i="20"/>
  <c r="H36" i="19"/>
  <c r="B36" i="19"/>
  <c r="H36" i="18"/>
  <c r="B36" i="18"/>
  <c r="H36" i="17"/>
  <c r="B36" i="17"/>
  <c r="H36" i="15"/>
  <c r="B36" i="15"/>
  <c r="H34" i="15"/>
  <c r="H34" i="16"/>
  <c r="H34" i="17"/>
  <c r="H34" i="18"/>
  <c r="H34" i="19"/>
  <c r="L34" i="20"/>
  <c r="F34" i="20"/>
  <c r="B34" i="19"/>
  <c r="B34" i="18"/>
  <c r="B34" i="17"/>
  <c r="B34" i="16"/>
  <c r="B34" i="15"/>
  <c r="M41" i="20" l="1"/>
  <c r="I9" i="39"/>
  <c r="I11" i="39" s="1"/>
  <c r="B39" i="25"/>
  <c r="M34" i="20"/>
  <c r="M34" i="18"/>
  <c r="M34" i="17"/>
  <c r="M34" i="16"/>
  <c r="M34" i="19" l="1"/>
  <c r="M34" i="15"/>
  <c r="F7" i="23"/>
  <c r="E7" i="23"/>
  <c r="D7" i="23"/>
  <c r="C7" i="23"/>
  <c r="G7" i="23"/>
  <c r="B7" i="23"/>
  <c r="G5" i="23"/>
  <c r="F5" i="23"/>
  <c r="E5" i="23"/>
  <c r="D5" i="23"/>
  <c r="C5" i="23"/>
  <c r="B5" i="23"/>
  <c r="G3" i="23"/>
  <c r="F3" i="23"/>
  <c r="D3" i="23"/>
  <c r="C3" i="23"/>
  <c r="E3" i="23"/>
  <c r="B3" i="23"/>
  <c r="AA11" i="21" l="1"/>
  <c r="Z23" i="21"/>
  <c r="BK7" i="21"/>
  <c r="BK6" i="21"/>
  <c r="BK5" i="21"/>
  <c r="BK4" i="21"/>
  <c r="BK3" i="21"/>
  <c r="Q10" i="21"/>
  <c r="AM11" i="21"/>
  <c r="AM16" i="21" s="1"/>
  <c r="H8" i="21" s="1"/>
  <c r="BC18" i="21"/>
  <c r="BC17" i="21"/>
  <c r="BC16" i="21"/>
  <c r="BC15" i="21"/>
  <c r="BC14" i="21"/>
  <c r="BC13" i="21"/>
  <c r="BC12" i="21"/>
  <c r="BC10" i="21"/>
  <c r="Q7" i="21" s="1"/>
  <c r="AU10" i="21"/>
  <c r="Q6" i="21" s="1"/>
  <c r="Q5" i="21"/>
  <c r="H3" i="21"/>
  <c r="Z3" i="21" s="1"/>
  <c r="Z21" i="21" s="1"/>
  <c r="Q18" i="21" l="1"/>
  <c r="Q17" i="21" s="1"/>
  <c r="BK10" i="21"/>
  <c r="Z19" i="21" s="1"/>
  <c r="H16" i="21"/>
  <c r="H13" i="21" s="1"/>
  <c r="H12" i="21" s="1"/>
  <c r="Q3" i="21"/>
  <c r="H24" i="21"/>
  <c r="H25" i="21" s="1"/>
  <c r="H23" i="21" s="1"/>
  <c r="Q14" i="21"/>
  <c r="W15" i="21"/>
  <c r="W26" i="21"/>
  <c r="I9" i="21"/>
  <c r="N27" i="21"/>
  <c r="W27" i="21" s="1"/>
  <c r="N26" i="21"/>
  <c r="N15" i="21"/>
  <c r="AZ13" i="21" s="1"/>
  <c r="N10" i="21"/>
  <c r="N5" i="21"/>
  <c r="BC27" i="21"/>
  <c r="BB27" i="21"/>
  <c r="BA27" i="21"/>
  <c r="AZ27" i="21"/>
  <c r="AY27" i="21"/>
  <c r="AX27" i="21"/>
  <c r="AW27" i="21"/>
  <c r="E26" i="21"/>
  <c r="E15" i="21"/>
  <c r="E3" i="21"/>
  <c r="N3" i="21" s="1"/>
  <c r="D3" i="21"/>
  <c r="D15" i="21"/>
  <c r="D26" i="21"/>
  <c r="AZ32" i="21"/>
  <c r="AZ31" i="21"/>
  <c r="AZ30" i="21"/>
  <c r="AR10" i="21"/>
  <c r="N6" i="21" s="1"/>
  <c r="AJ11" i="21"/>
  <c r="AJ16" i="21" s="1"/>
  <c r="E8" i="21" s="1"/>
  <c r="BP12" i="21"/>
  <c r="BS12" i="21"/>
  <c r="E28" i="21" l="1"/>
  <c r="AZ4" i="21"/>
  <c r="AZ5" i="21"/>
  <c r="D16" i="21"/>
  <c r="W28" i="21"/>
  <c r="N28" i="21"/>
  <c r="AZ14" i="21"/>
  <c r="AZ16" i="21"/>
  <c r="AZ17" i="21"/>
  <c r="Q24" i="21"/>
  <c r="Q25" i="21" s="1"/>
  <c r="Q23" i="21" s="1"/>
  <c r="Q20" i="21"/>
  <c r="Q13" i="21" s="1"/>
  <c r="Q12" i="21" s="1"/>
  <c r="N24" i="21"/>
  <c r="N25" i="21" s="1"/>
  <c r="N23" i="21" s="1"/>
  <c r="AZ15" i="21"/>
  <c r="AZ3" i="21"/>
  <c r="N20" i="21"/>
  <c r="E16" i="21"/>
  <c r="E13" i="21" s="1"/>
  <c r="E12" i="21" s="1"/>
  <c r="E24" i="21"/>
  <c r="E25" i="21" s="1"/>
  <c r="E23" i="21" s="1"/>
  <c r="W3" i="21"/>
  <c r="AA9" i="21"/>
  <c r="R9" i="21"/>
  <c r="BH5" i="21"/>
  <c r="BH3" i="21"/>
  <c r="BH4" i="21"/>
  <c r="AZ18" i="21"/>
  <c r="AZ7" i="21"/>
  <c r="AZ8" i="21"/>
  <c r="AZ6" i="21"/>
  <c r="BH6" i="21" s="1"/>
  <c r="D13" i="21"/>
  <c r="F32" i="14"/>
  <c r="B32" i="13"/>
  <c r="B32" i="12"/>
  <c r="B32" i="11"/>
  <c r="B32" i="4"/>
  <c r="B32" i="10"/>
  <c r="AZ10" i="21" l="1"/>
  <c r="N7" i="21" s="1"/>
  <c r="N18" i="21" s="1"/>
  <c r="BH7" i="21"/>
  <c r="W24" i="21"/>
  <c r="W25" i="21" s="1"/>
  <c r="W23" i="21" s="1"/>
  <c r="W21" i="21"/>
  <c r="BH10" i="21"/>
  <c r="W19" i="21" s="1"/>
  <c r="N17" i="21"/>
  <c r="N13" i="21" s="1"/>
  <c r="N12" i="21" s="1"/>
  <c r="N14" i="21"/>
  <c r="AZ12" i="21"/>
  <c r="M32" i="12" l="1"/>
  <c r="M32" i="11"/>
  <c r="M32" i="4"/>
  <c r="M32" i="10"/>
  <c r="M32" i="14"/>
  <c r="M32" i="13"/>
  <c r="C13" i="9" l="1"/>
  <c r="B13" i="9" s="1"/>
  <c r="P5" i="21"/>
  <c r="O5" i="21"/>
  <c r="M5" i="21"/>
  <c r="L5" i="21"/>
  <c r="K5" i="21"/>
  <c r="G3" i="21"/>
  <c r="F3" i="21"/>
  <c r="C3" i="21"/>
  <c r="B3" i="21"/>
  <c r="B21" i="34" l="1"/>
  <c r="K3" i="21"/>
  <c r="K20" i="21" s="1"/>
  <c r="L3" i="21"/>
  <c r="L20" i="21" s="1"/>
  <c r="M3" i="21"/>
  <c r="O3" i="21"/>
  <c r="P3" i="21"/>
  <c r="P20" i="21" s="1"/>
  <c r="T3" i="21"/>
  <c r="U3" i="21"/>
  <c r="V3" i="21"/>
  <c r="X3" i="21"/>
  <c r="Y3" i="21"/>
  <c r="AV3" i="21"/>
  <c r="AW3" i="21"/>
  <c r="AX3" i="21"/>
  <c r="BF3" i="21" s="1"/>
  <c r="BA3" i="21"/>
  <c r="BI3" i="21" s="1"/>
  <c r="BB3" i="21"/>
  <c r="BJ3" i="21" s="1"/>
  <c r="BD3" i="21"/>
  <c r="AC24" i="21"/>
  <c r="AC25" i="21" s="1"/>
  <c r="AC23" i="21" s="1"/>
  <c r="AV4" i="21"/>
  <c r="AW4" i="21"/>
  <c r="AX4" i="21"/>
  <c r="BF4" i="21" s="1"/>
  <c r="BA4" i="21"/>
  <c r="BB4" i="21"/>
  <c r="BJ4" i="21" s="1"/>
  <c r="BD4" i="21"/>
  <c r="CB4" i="21"/>
  <c r="CC4" i="21" s="1"/>
  <c r="AV5" i="21"/>
  <c r="AW5" i="21"/>
  <c r="BE5" i="21" s="1"/>
  <c r="AX5" i="21"/>
  <c r="BA5" i="21"/>
  <c r="BI5" i="21" s="1"/>
  <c r="BB5" i="21"/>
  <c r="BD5" i="21"/>
  <c r="CB5" i="21"/>
  <c r="CC5" i="21" s="1"/>
  <c r="CD5" i="21" s="1"/>
  <c r="CE5" i="21" s="1"/>
  <c r="CF5" i="21" s="1"/>
  <c r="CG5" i="21" s="1"/>
  <c r="AV6" i="21"/>
  <c r="AW6" i="21"/>
  <c r="BE6" i="21" s="1"/>
  <c r="AX6" i="21"/>
  <c r="BF6" i="21" s="1"/>
  <c r="BA6" i="21"/>
  <c r="BI6" i="21" s="1"/>
  <c r="BB6" i="21"/>
  <c r="BJ6" i="21" s="1"/>
  <c r="BD6" i="21"/>
  <c r="CB6" i="21"/>
  <c r="CC21" i="21" s="1"/>
  <c r="AV7" i="21"/>
  <c r="AW7" i="21"/>
  <c r="BE7" i="21" s="1"/>
  <c r="AX7" i="21"/>
  <c r="BF7" i="21" s="1"/>
  <c r="BA7" i="21"/>
  <c r="BI7" i="21" s="1"/>
  <c r="BB7" i="21"/>
  <c r="BJ7" i="21" s="1"/>
  <c r="BD7" i="21"/>
  <c r="CB7" i="21"/>
  <c r="CC7" i="21" s="1"/>
  <c r="AV8" i="21"/>
  <c r="AW8" i="21"/>
  <c r="AX8" i="21"/>
  <c r="BA8" i="21"/>
  <c r="BB8" i="21"/>
  <c r="BD8" i="21"/>
  <c r="CB8" i="21"/>
  <c r="CC8" i="21" s="1"/>
  <c r="AV9" i="21"/>
  <c r="BD9" i="21"/>
  <c r="AO10" i="21"/>
  <c r="K6" i="21" s="1"/>
  <c r="AP10" i="21"/>
  <c r="L6" i="21" s="1"/>
  <c r="AQ10" i="21"/>
  <c r="M6" i="21" s="1"/>
  <c r="AS10" i="21"/>
  <c r="O6" i="21" s="1"/>
  <c r="AT10" i="21"/>
  <c r="P6" i="21" s="1"/>
  <c r="AV10" i="21"/>
  <c r="BD10" i="21"/>
  <c r="K10" i="21"/>
  <c r="L10" i="21"/>
  <c r="M10" i="21"/>
  <c r="O10" i="21"/>
  <c r="P10" i="21"/>
  <c r="AG11" i="21"/>
  <c r="AH11" i="21"/>
  <c r="AH16" i="21" s="1"/>
  <c r="C8" i="21" s="1"/>
  <c r="AI11" i="21"/>
  <c r="AK11" i="21"/>
  <c r="AL11" i="21"/>
  <c r="CB11" i="21"/>
  <c r="CC11" i="21" s="1"/>
  <c r="CD11" i="21" s="1"/>
  <c r="CE11" i="21" s="1"/>
  <c r="CF11" i="21" s="1"/>
  <c r="CG11" i="21" s="1"/>
  <c r="BM12" i="21"/>
  <c r="BN12" i="21"/>
  <c r="BO12" i="21"/>
  <c r="D28" i="21" s="1"/>
  <c r="D24" i="21" s="1"/>
  <c r="D25" i="21" s="1"/>
  <c r="D23" i="21" s="1"/>
  <c r="BQ12" i="21"/>
  <c r="BR12" i="21"/>
  <c r="CB12" i="21"/>
  <c r="CC27" i="21" s="1"/>
  <c r="AW13" i="21"/>
  <c r="AX13" i="21"/>
  <c r="BA13" i="21"/>
  <c r="BB13" i="21"/>
  <c r="CB13" i="21"/>
  <c r="CC13" i="21" s="1"/>
  <c r="CD13" i="21" s="1"/>
  <c r="CE13" i="21" s="1"/>
  <c r="CF13" i="21" s="1"/>
  <c r="CG13" i="21" s="1"/>
  <c r="AW14" i="21"/>
  <c r="AX14" i="21"/>
  <c r="BA14" i="21"/>
  <c r="BB14" i="21"/>
  <c r="CB14" i="21"/>
  <c r="AC22" i="21"/>
  <c r="AW15" i="21"/>
  <c r="AX15" i="21"/>
  <c r="BA15" i="21"/>
  <c r="BB15" i="21"/>
  <c r="CB15" i="21"/>
  <c r="CC15" i="21" s="1"/>
  <c r="CD15" i="21" s="1"/>
  <c r="CE15" i="21" s="1"/>
  <c r="CF15" i="21" s="1"/>
  <c r="CG15" i="21" s="1"/>
  <c r="AG16" i="21"/>
  <c r="B8" i="21" s="1"/>
  <c r="AW16" i="21"/>
  <c r="AX16" i="21"/>
  <c r="BA16" i="21"/>
  <c r="BB16" i="21"/>
  <c r="AW17" i="21"/>
  <c r="AX17" i="21"/>
  <c r="BA17" i="21"/>
  <c r="BB17" i="21"/>
  <c r="AW18" i="21"/>
  <c r="AX18" i="21"/>
  <c r="BA18" i="21"/>
  <c r="BB18" i="21"/>
  <c r="M15" i="21"/>
  <c r="AY6" i="21" s="1"/>
  <c r="V15" i="21"/>
  <c r="CB19" i="21"/>
  <c r="B16" i="21"/>
  <c r="B13" i="21" s="1"/>
  <c r="C16" i="21"/>
  <c r="C13" i="21" s="1"/>
  <c r="F16" i="21"/>
  <c r="F13" i="21" s="1"/>
  <c r="G16" i="21"/>
  <c r="G13" i="21" s="1"/>
  <c r="CB20" i="21"/>
  <c r="CB21" i="21"/>
  <c r="CB22" i="21"/>
  <c r="CB23" i="21"/>
  <c r="CB26" i="21"/>
  <c r="M26" i="21"/>
  <c r="V26" i="21"/>
  <c r="CB27" i="21"/>
  <c r="M27" i="21"/>
  <c r="V27" i="21" s="1"/>
  <c r="CB28" i="21"/>
  <c r="CB29" i="21"/>
  <c r="CB30" i="21"/>
  <c r="AY30" i="21"/>
  <c r="AY31" i="21"/>
  <c r="AY32" i="21"/>
  <c r="AY35" i="21"/>
  <c r="CC6" i="21" l="1"/>
  <c r="CD21" i="21" s="1"/>
  <c r="AY14" i="21"/>
  <c r="C12" i="21"/>
  <c r="AY16" i="21"/>
  <c r="M20" i="21"/>
  <c r="AY17" i="21"/>
  <c r="AY4" i="21"/>
  <c r="BG4" i="21" s="1"/>
  <c r="AY13" i="21"/>
  <c r="AX12" i="21"/>
  <c r="C28" i="21" s="1"/>
  <c r="BB10" i="21"/>
  <c r="P7" i="21" s="1"/>
  <c r="P18" i="21" s="1"/>
  <c r="CC19" i="21"/>
  <c r="CC20" i="21"/>
  <c r="CC22" i="21"/>
  <c r="CE20" i="21"/>
  <c r="CC26" i="21"/>
  <c r="CC28" i="21"/>
  <c r="CE28" i="21"/>
  <c r="CD28" i="21"/>
  <c r="CD26" i="21"/>
  <c r="CC23" i="21"/>
  <c r="V21" i="21"/>
  <c r="AK16" i="21"/>
  <c r="F8" i="21" s="1"/>
  <c r="F12" i="21" s="1"/>
  <c r="AW12" i="21"/>
  <c r="B28" i="21" s="1"/>
  <c r="B24" i="21" s="1"/>
  <c r="B12" i="21"/>
  <c r="BB12" i="21"/>
  <c r="G28" i="21" s="1"/>
  <c r="G24" i="21" s="1"/>
  <c r="AI16" i="21"/>
  <c r="D8" i="21" s="1"/>
  <c r="D12" i="21" s="1"/>
  <c r="CD22" i="21"/>
  <c r="BF5" i="21"/>
  <c r="BF10" i="21" s="1"/>
  <c r="U19" i="21" s="1"/>
  <c r="AX10" i="21"/>
  <c r="BA10" i="21"/>
  <c r="O7" i="21" s="1"/>
  <c r="BI4" i="21"/>
  <c r="BI10" i="21" s="1"/>
  <c r="X19" i="21" s="1"/>
  <c r="BA12" i="21"/>
  <c r="F28" i="21" s="1"/>
  <c r="F24" i="21" s="1"/>
  <c r="CE30" i="21"/>
  <c r="CF30" i="21"/>
  <c r="CD30" i="21"/>
  <c r="BG6" i="21"/>
  <c r="CF28" i="21"/>
  <c r="CD23" i="21"/>
  <c r="CD8" i="21"/>
  <c r="CE8" i="21" s="1"/>
  <c r="CF8" i="21" s="1"/>
  <c r="CG8" i="21" s="1"/>
  <c r="CD19" i="21"/>
  <c r="CD4" i="21"/>
  <c r="CE4" i="21" s="1"/>
  <c r="CF4" i="21" s="1"/>
  <c r="CG4" i="21" s="1"/>
  <c r="AL16" i="21"/>
  <c r="G8" i="21" s="1"/>
  <c r="G12" i="21" s="1"/>
  <c r="T21" i="21"/>
  <c r="O20" i="21"/>
  <c r="CC14" i="21"/>
  <c r="CD14" i="21" s="1"/>
  <c r="CE14" i="21" s="1"/>
  <c r="CF14" i="21" s="1"/>
  <c r="CG14" i="21" s="1"/>
  <c r="CC29" i="21"/>
  <c r="CC30" i="21"/>
  <c r="CC12" i="21"/>
  <c r="BE3" i="21"/>
  <c r="AW10" i="21"/>
  <c r="K7" i="21" s="1"/>
  <c r="K18" i="21" s="1"/>
  <c r="CD7" i="21"/>
  <c r="CE7" i="21" s="1"/>
  <c r="CF7" i="21" s="1"/>
  <c r="CG7" i="21" s="1"/>
  <c r="BE4" i="21"/>
  <c r="CF26" i="21"/>
  <c r="AY18" i="21"/>
  <c r="AY3" i="21"/>
  <c r="CE26" i="21"/>
  <c r="BJ5" i="21"/>
  <c r="BJ10" i="21" s="1"/>
  <c r="Y19" i="21" s="1"/>
  <c r="AY5" i="21"/>
  <c r="BG5" i="21" s="1"/>
  <c r="CF20" i="21"/>
  <c r="CD20" i="21"/>
  <c r="AY15" i="21"/>
  <c r="AY8" i="21"/>
  <c r="AY7" i="21"/>
  <c r="BG7" i="21" s="1"/>
  <c r="I12" i="21" l="1"/>
  <c r="Z18" i="21"/>
  <c r="V18" i="21"/>
  <c r="X18" i="21"/>
  <c r="Y18" i="21"/>
  <c r="W18" i="21"/>
  <c r="CD6" i="21"/>
  <c r="CE6" i="21" s="1"/>
  <c r="CF6" i="21" s="1"/>
  <c r="CG6" i="21" s="1"/>
  <c r="C24" i="21"/>
  <c r="C25" i="21" s="1"/>
  <c r="C23" i="21" s="1"/>
  <c r="L28" i="21"/>
  <c r="L24" i="21" s="1"/>
  <c r="L25" i="21" s="1"/>
  <c r="L23" i="21" s="1"/>
  <c r="U28" i="21"/>
  <c r="U24" i="21" s="1"/>
  <c r="U25" i="21" s="1"/>
  <c r="U23" i="21" s="1"/>
  <c r="P14" i="21"/>
  <c r="P17" i="21"/>
  <c r="P13" i="21" s="1"/>
  <c r="P12" i="21" s="1"/>
  <c r="L7" i="21"/>
  <c r="L18" i="21" s="1"/>
  <c r="CE23" i="21"/>
  <c r="CF23" i="21"/>
  <c r="CE19" i="21"/>
  <c r="CF19" i="21"/>
  <c r="CD29" i="21"/>
  <c r="CF29" i="21"/>
  <c r="Y28" i="21"/>
  <c r="Y24" i="21" s="1"/>
  <c r="Y25" i="21" s="1"/>
  <c r="Y23" i="21" s="1"/>
  <c r="G25" i="21"/>
  <c r="G23" i="21" s="1"/>
  <c r="P28" i="21"/>
  <c r="P24" i="21" s="1"/>
  <c r="K28" i="21"/>
  <c r="K24" i="21" s="1"/>
  <c r="B25" i="21"/>
  <c r="B23" i="21" s="1"/>
  <c r="T28" i="21"/>
  <c r="CD12" i="21"/>
  <c r="CE12" i="21" s="1"/>
  <c r="CF12" i="21" s="1"/>
  <c r="CG12" i="21" s="1"/>
  <c r="CD27" i="21"/>
  <c r="BA35" i="21"/>
  <c r="O18" i="21"/>
  <c r="BE10" i="21"/>
  <c r="T19" i="21" s="1"/>
  <c r="K14" i="21"/>
  <c r="K17" i="21"/>
  <c r="K13" i="21" s="1"/>
  <c r="K12" i="21" s="1"/>
  <c r="X21" i="21"/>
  <c r="AY12" i="21"/>
  <c r="CF22" i="21"/>
  <c r="AY10" i="21"/>
  <c r="BG3" i="21"/>
  <c r="BG10" i="21" s="1"/>
  <c r="V19" i="21" s="1"/>
  <c r="CE22" i="21"/>
  <c r="CE29" i="21"/>
  <c r="U21" i="21"/>
  <c r="Y21" i="21"/>
  <c r="O28" i="21"/>
  <c r="O24" i="21" s="1"/>
  <c r="X28" i="21"/>
  <c r="X24" i="21" s="1"/>
  <c r="T18" i="21" l="1"/>
  <c r="U18" i="21"/>
  <c r="X20" i="21"/>
  <c r="Z14" i="21"/>
  <c r="Z17" i="21"/>
  <c r="U20" i="21"/>
  <c r="Y20" i="21"/>
  <c r="Z20" i="21"/>
  <c r="V20" i="21"/>
  <c r="W20" i="21"/>
  <c r="T20" i="21"/>
  <c r="W14" i="21"/>
  <c r="CF21" i="21"/>
  <c r="CE21" i="21"/>
  <c r="T24" i="21"/>
  <c r="T25" i="21" s="1"/>
  <c r="T23" i="21" s="1"/>
  <c r="L14" i="21"/>
  <c r="L17" i="21"/>
  <c r="L13" i="21" s="1"/>
  <c r="L12" i="21" s="1"/>
  <c r="M7" i="21"/>
  <c r="M18" i="21" s="1"/>
  <c r="CF27" i="21"/>
  <c r="K25" i="21"/>
  <c r="K23" i="21" s="1"/>
  <c r="P25" i="21"/>
  <c r="P23" i="21" s="1"/>
  <c r="F25" i="21"/>
  <c r="F23" i="21" s="1"/>
  <c r="I23" i="21" s="1"/>
  <c r="V28" i="21"/>
  <c r="V24" i="21" s="1"/>
  <c r="M28" i="21"/>
  <c r="M24" i="21" s="1"/>
  <c r="X25" i="21"/>
  <c r="X23" i="21" s="1"/>
  <c r="CE27" i="21"/>
  <c r="O14" i="21"/>
  <c r="O17" i="21"/>
  <c r="O13" i="21" s="1"/>
  <c r="O12" i="21" s="1"/>
  <c r="O25" i="21"/>
  <c r="O23" i="21" s="1"/>
  <c r="Z13" i="21" l="1"/>
  <c r="Z12" i="21" s="1"/>
  <c r="W17" i="21"/>
  <c r="W13" i="21" s="1"/>
  <c r="W12" i="21" s="1"/>
  <c r="M14" i="21"/>
  <c r="M17" i="21"/>
  <c r="M13" i="21" s="1"/>
  <c r="M12" i="21" s="1"/>
  <c r="R12" i="21" s="1"/>
  <c r="U14" i="21"/>
  <c r="U17" i="21"/>
  <c r="U13" i="21" s="1"/>
  <c r="U12" i="21" s="1"/>
  <c r="V25" i="21"/>
  <c r="V23" i="21" s="1"/>
  <c r="AA23" i="21" s="1"/>
  <c r="T14" i="21"/>
  <c r="T17" i="21"/>
  <c r="T13" i="21" s="1"/>
  <c r="T12" i="21" s="1"/>
  <c r="X14" i="21"/>
  <c r="X17" i="21"/>
  <c r="X13" i="21" s="1"/>
  <c r="X12" i="21" s="1"/>
  <c r="V17" i="21"/>
  <c r="V13" i="21" s="1"/>
  <c r="V12" i="21" s="1"/>
  <c r="V14" i="21"/>
  <c r="Y14" i="21"/>
  <c r="Y17" i="21"/>
  <c r="Y13" i="21" s="1"/>
  <c r="Y12" i="21" s="1"/>
  <c r="M25" i="21"/>
  <c r="M23" i="21" s="1"/>
  <c r="R23" i="21" s="1"/>
  <c r="AA12" i="21" l="1"/>
  <c r="H44" i="4"/>
  <c r="B44" i="4"/>
  <c r="H44" i="11"/>
  <c r="B44" i="11"/>
  <c r="H44" i="12"/>
  <c r="B44" i="12"/>
  <c r="H44" i="13"/>
  <c r="B44" i="13"/>
  <c r="L44" i="14"/>
  <c r="F44" i="14"/>
  <c r="H44" i="10"/>
  <c r="B44" i="10"/>
  <c r="M44" i="13" l="1"/>
  <c r="H4" i="39" s="1"/>
  <c r="M44" i="11"/>
  <c r="E4" i="39" s="1"/>
  <c r="M44" i="12"/>
  <c r="D4" i="39" s="1"/>
  <c r="M44" i="10"/>
  <c r="C4" i="39" s="1"/>
  <c r="M44" i="14"/>
  <c r="G4" i="39" s="1"/>
  <c r="M44" i="4"/>
  <c r="B4" i="39" s="1"/>
  <c r="L30" i="14"/>
  <c r="F30" i="14"/>
  <c r="L29" i="14"/>
  <c r="F29" i="14"/>
  <c r="L28" i="14"/>
  <c r="F28" i="14"/>
  <c r="L26" i="14"/>
  <c r="F24" i="14"/>
  <c r="F23" i="14"/>
  <c r="L42" i="14"/>
  <c r="F21" i="14"/>
  <c r="F42" i="14" s="1"/>
  <c r="L41" i="14"/>
  <c r="F41" i="14"/>
  <c r="F19" i="14"/>
  <c r="F18" i="14"/>
  <c r="F16" i="14"/>
  <c r="F15" i="14"/>
  <c r="F14" i="14"/>
  <c r="F13" i="14"/>
  <c r="F12" i="14"/>
  <c r="F11" i="14"/>
  <c r="H30" i="13"/>
  <c r="B30" i="13"/>
  <c r="H29" i="13"/>
  <c r="B29" i="13"/>
  <c r="H28" i="13"/>
  <c r="B28" i="13"/>
  <c r="H26" i="13"/>
  <c r="B26" i="13"/>
  <c r="B24" i="13"/>
  <c r="B23" i="13"/>
  <c r="H42" i="13"/>
  <c r="B21" i="13"/>
  <c r="B42" i="13" s="1"/>
  <c r="H41" i="13"/>
  <c r="B41" i="13"/>
  <c r="B19" i="13"/>
  <c r="B18" i="13"/>
  <c r="B16" i="13"/>
  <c r="B15" i="13"/>
  <c r="B14" i="13"/>
  <c r="B13" i="13"/>
  <c r="B12" i="13"/>
  <c r="B11" i="13"/>
  <c r="H30" i="12"/>
  <c r="B30" i="12"/>
  <c r="H29" i="12"/>
  <c r="B29" i="12"/>
  <c r="H28" i="12"/>
  <c r="B28" i="12"/>
  <c r="B26" i="12"/>
  <c r="B24" i="12"/>
  <c r="B23" i="12"/>
  <c r="H42" i="12"/>
  <c r="B21" i="12"/>
  <c r="B42" i="12" s="1"/>
  <c r="H41" i="12"/>
  <c r="B41" i="12"/>
  <c r="B19" i="12"/>
  <c r="B18" i="12"/>
  <c r="B16" i="12"/>
  <c r="B15" i="12"/>
  <c r="B14" i="12"/>
  <c r="B13" i="12"/>
  <c r="B12" i="12"/>
  <c r="B11" i="12"/>
  <c r="H30" i="11"/>
  <c r="B30" i="11"/>
  <c r="H29" i="11"/>
  <c r="B29" i="11"/>
  <c r="H28" i="11"/>
  <c r="B28" i="11"/>
  <c r="H26" i="11"/>
  <c r="B26" i="11"/>
  <c r="B24" i="11"/>
  <c r="B23" i="11"/>
  <c r="H42" i="11"/>
  <c r="B21" i="11"/>
  <c r="B42" i="11" s="1"/>
  <c r="H41" i="11"/>
  <c r="B41" i="11"/>
  <c r="B19" i="11"/>
  <c r="B18" i="11"/>
  <c r="B16" i="11"/>
  <c r="B15" i="11"/>
  <c r="B14" i="11"/>
  <c r="B13" i="11"/>
  <c r="B12" i="11"/>
  <c r="B11" i="11"/>
  <c r="H30" i="4"/>
  <c r="H29" i="4"/>
  <c r="H28" i="4"/>
  <c r="H26" i="4"/>
  <c r="H42" i="4"/>
  <c r="H41" i="4"/>
  <c r="B30" i="4"/>
  <c r="B29" i="4"/>
  <c r="B28" i="4"/>
  <c r="B26" i="4"/>
  <c r="B24" i="4"/>
  <c r="B23" i="4"/>
  <c r="B21" i="4"/>
  <c r="B42" i="4" s="1"/>
  <c r="B41" i="4"/>
  <c r="B19" i="4"/>
  <c r="B18" i="4"/>
  <c r="B16" i="4"/>
  <c r="B15" i="4"/>
  <c r="B14" i="4"/>
  <c r="B13" i="4"/>
  <c r="B12" i="4"/>
  <c r="B11" i="4"/>
  <c r="J4" i="39" l="1"/>
  <c r="B2" i="9" s="1"/>
  <c r="L33" i="14"/>
  <c r="L43" i="14"/>
  <c r="F33" i="14"/>
  <c r="F43" i="14"/>
  <c r="M43" i="14" s="1"/>
  <c r="G16" i="39" s="1"/>
  <c r="H43" i="13"/>
  <c r="H33" i="13"/>
  <c r="B43" i="13"/>
  <c r="B33" i="13"/>
  <c r="H33" i="11"/>
  <c r="H43" i="11"/>
  <c r="B33" i="11"/>
  <c r="B43" i="11"/>
  <c r="H33" i="12"/>
  <c r="H43" i="12"/>
  <c r="B43" i="12"/>
  <c r="B33" i="12"/>
  <c r="H33" i="4"/>
  <c r="H43" i="4"/>
  <c r="B43" i="4"/>
  <c r="B33" i="4"/>
  <c r="B34" i="4"/>
  <c r="H34" i="4"/>
  <c r="B34" i="12"/>
  <c r="H34" i="12"/>
  <c r="B34" i="11"/>
  <c r="H34" i="11"/>
  <c r="B34" i="13"/>
  <c r="H34" i="13"/>
  <c r="F34" i="14"/>
  <c r="L34" i="14"/>
  <c r="F22" i="14"/>
  <c r="B22" i="11"/>
  <c r="L22" i="14"/>
  <c r="H36" i="12"/>
  <c r="H22" i="13"/>
  <c r="B22" i="13"/>
  <c r="B22" i="12"/>
  <c r="B45" i="12" s="1"/>
  <c r="M45" i="12" s="1"/>
  <c r="H22" i="11"/>
  <c r="B22" i="4"/>
  <c r="B45" i="4" s="1"/>
  <c r="M45" i="4" s="1"/>
  <c r="H42" i="10"/>
  <c r="H41" i="10"/>
  <c r="H34" i="10"/>
  <c r="B24" i="10"/>
  <c r="B41" i="10"/>
  <c r="B30" i="10"/>
  <c r="B29" i="10"/>
  <c r="B28" i="10"/>
  <c r="B26" i="10"/>
  <c r="B23" i="10"/>
  <c r="B21" i="10"/>
  <c r="B42" i="10" s="1"/>
  <c r="B19" i="10"/>
  <c r="B18" i="10"/>
  <c r="B16" i="10"/>
  <c r="B15" i="10"/>
  <c r="B14" i="10"/>
  <c r="B13" i="10"/>
  <c r="B12" i="10"/>
  <c r="B11" i="10"/>
  <c r="B36" i="4" l="1"/>
  <c r="M43" i="4"/>
  <c r="B16" i="39" s="1"/>
  <c r="B36" i="13"/>
  <c r="B45" i="13"/>
  <c r="H36" i="13"/>
  <c r="H45" i="13"/>
  <c r="F36" i="14"/>
  <c r="F45" i="14"/>
  <c r="L36" i="14"/>
  <c r="L45" i="14"/>
  <c r="H36" i="11"/>
  <c r="H45" i="11"/>
  <c r="B36" i="11"/>
  <c r="B45" i="11"/>
  <c r="B36" i="12"/>
  <c r="M43" i="13"/>
  <c r="H16" i="39" s="1"/>
  <c r="M43" i="11"/>
  <c r="E16" i="39" s="1"/>
  <c r="M34" i="11"/>
  <c r="E7" i="39" s="1"/>
  <c r="M43" i="12"/>
  <c r="D16" i="39" s="1"/>
  <c r="H43" i="10"/>
  <c r="H33" i="10"/>
  <c r="B43" i="10"/>
  <c r="B33" i="10"/>
  <c r="M34" i="4"/>
  <c r="B7" i="39" s="1"/>
  <c r="B34" i="10"/>
  <c r="M34" i="14"/>
  <c r="G7" i="39" s="1"/>
  <c r="M34" i="13"/>
  <c r="H7" i="39" s="1"/>
  <c r="M34" i="12"/>
  <c r="D7" i="39" s="1"/>
  <c r="H22" i="10"/>
  <c r="H45" i="10" s="1"/>
  <c r="M45" i="11" l="1"/>
  <c r="M45" i="13"/>
  <c r="M45" i="14"/>
  <c r="H36" i="10"/>
  <c r="M43" i="10"/>
  <c r="C16" i="39" s="1"/>
  <c r="J16" i="39" s="1"/>
  <c r="M34" i="10"/>
  <c r="C7" i="39" s="1"/>
  <c r="J7" i="39" s="1"/>
  <c r="L37" i="20"/>
  <c r="L38" i="20" s="1"/>
  <c r="L39" i="20" s="1"/>
  <c r="F37" i="20"/>
  <c r="F38" i="20" s="1"/>
  <c r="F39" i="20" s="1"/>
  <c r="H37" i="19"/>
  <c r="H38" i="19" s="1"/>
  <c r="H39" i="19" s="1"/>
  <c r="B37" i="19"/>
  <c r="B38" i="19" s="1"/>
  <c r="B39" i="19" s="1"/>
  <c r="M33" i="19"/>
  <c r="H37" i="18"/>
  <c r="H38" i="18" s="1"/>
  <c r="H39" i="18" s="1"/>
  <c r="B37" i="18"/>
  <c r="B38" i="18" s="1"/>
  <c r="B39" i="18" s="1"/>
  <c r="H35" i="18"/>
  <c r="H37" i="17"/>
  <c r="H38" i="17" s="1"/>
  <c r="H39" i="17" s="1"/>
  <c r="B37" i="17"/>
  <c r="B38" i="17" s="1"/>
  <c r="B39" i="17" s="1"/>
  <c r="H37" i="16"/>
  <c r="H38" i="16" s="1"/>
  <c r="H39" i="16" s="1"/>
  <c r="B37" i="16"/>
  <c r="B38" i="16" s="1"/>
  <c r="B39" i="16" s="1"/>
  <c r="M33" i="16"/>
  <c r="H37" i="15"/>
  <c r="H38" i="15" s="1"/>
  <c r="H39" i="15" s="1"/>
  <c r="B37" i="15"/>
  <c r="B38" i="15" s="1"/>
  <c r="B39" i="15" s="1"/>
  <c r="M33" i="17" l="1"/>
  <c r="M37" i="17"/>
  <c r="M37" i="20"/>
  <c r="M41" i="17"/>
  <c r="M37" i="15"/>
  <c r="M41" i="13"/>
  <c r="M42" i="17"/>
  <c r="M41" i="11"/>
  <c r="M33" i="20"/>
  <c r="H35" i="17"/>
  <c r="L35" i="20"/>
  <c r="H35" i="19"/>
  <c r="M42" i="13"/>
  <c r="M37" i="19"/>
  <c r="B35" i="19"/>
  <c r="M41" i="18"/>
  <c r="M41" i="12"/>
  <c r="B35" i="18"/>
  <c r="M35" i="18" s="1"/>
  <c r="H35" i="16"/>
  <c r="B35" i="16"/>
  <c r="M33" i="15"/>
  <c r="B35" i="15"/>
  <c r="H35" i="15"/>
  <c r="M37" i="16"/>
  <c r="M33" i="18"/>
  <c r="M42" i="18"/>
  <c r="M37" i="18"/>
  <c r="M42" i="11"/>
  <c r="F35" i="20"/>
  <c r="B35" i="17"/>
  <c r="M42" i="12"/>
  <c r="M33" i="11"/>
  <c r="E5" i="39" s="1"/>
  <c r="L37" i="14"/>
  <c r="L38" i="14" s="1"/>
  <c r="L39" i="14" s="1"/>
  <c r="F37" i="14"/>
  <c r="F38" i="14" s="1"/>
  <c r="F39" i="14" s="1"/>
  <c r="M33" i="12" l="1"/>
  <c r="D5" i="39" s="1"/>
  <c r="M35" i="19"/>
  <c r="M35" i="16"/>
  <c r="M35" i="17"/>
  <c r="M42" i="16"/>
  <c r="M42" i="14"/>
  <c r="M33" i="13"/>
  <c r="H5" i="39" s="1"/>
  <c r="M42" i="19"/>
  <c r="M42" i="10"/>
  <c r="M33" i="4"/>
  <c r="B5" i="39" s="1"/>
  <c r="M42" i="20"/>
  <c r="M41" i="14"/>
  <c r="M41" i="10"/>
  <c r="M42" i="15"/>
  <c r="M35" i="15"/>
  <c r="F35" i="14"/>
  <c r="L35" i="14"/>
  <c r="M35" i="20"/>
  <c r="M41" i="19"/>
  <c r="M41" i="16"/>
  <c r="M41" i="15"/>
  <c r="M36" i="18"/>
  <c r="M36" i="20"/>
  <c r="M36" i="19"/>
  <c r="M38" i="19"/>
  <c r="M38" i="18"/>
  <c r="M36" i="17"/>
  <c r="M36" i="15"/>
  <c r="M33" i="10"/>
  <c r="C5" i="39" s="1"/>
  <c r="M37" i="14"/>
  <c r="M33" i="14"/>
  <c r="G5" i="39" s="1"/>
  <c r="J5" i="39" l="1"/>
  <c r="B3" i="9" s="1"/>
  <c r="M35" i="14"/>
  <c r="G8" i="39" s="1"/>
  <c r="M36" i="14"/>
  <c r="M36" i="16"/>
  <c r="M38" i="14"/>
  <c r="M38" i="20"/>
  <c r="M38" i="17"/>
  <c r="M38" i="16"/>
  <c r="M38" i="15"/>
  <c r="G9" i="39" l="1"/>
  <c r="G11" i="39" s="1"/>
  <c r="B35" i="13"/>
  <c r="H37" i="13"/>
  <c r="H38" i="13" s="1"/>
  <c r="H39" i="13" s="1"/>
  <c r="B37" i="13"/>
  <c r="B38" i="13" s="1"/>
  <c r="B39" i="13" s="1"/>
  <c r="M37" i="13" l="1"/>
  <c r="M42" i="4"/>
  <c r="C7" i="38" s="1"/>
  <c r="C8" i="38" s="1"/>
  <c r="H35" i="13"/>
  <c r="M35" i="13" s="1"/>
  <c r="H8" i="39" s="1"/>
  <c r="M36" i="13" l="1"/>
  <c r="H37" i="12"/>
  <c r="H38" i="12" s="1"/>
  <c r="H39" i="12" s="1"/>
  <c r="B37" i="12"/>
  <c r="B38" i="12" s="1"/>
  <c r="B39" i="12" s="1"/>
  <c r="H9" i="39" l="1"/>
  <c r="H11" i="39" s="1"/>
  <c r="M37" i="12"/>
  <c r="M38" i="13"/>
  <c r="H35" i="12"/>
  <c r="B35" i="12"/>
  <c r="M35" i="12" l="1"/>
  <c r="D8" i="39" s="1"/>
  <c r="M36" i="12"/>
  <c r="D9" i="39" l="1"/>
  <c r="D11" i="39" s="1"/>
  <c r="M38" i="12"/>
  <c r="H37" i="11"/>
  <c r="H38" i="11" s="1"/>
  <c r="H39" i="11" s="1"/>
  <c r="B37" i="11"/>
  <c r="B38" i="11" s="1"/>
  <c r="B39" i="11" s="1"/>
  <c r="B35" i="11"/>
  <c r="M37" i="11" l="1"/>
  <c r="H35" i="11"/>
  <c r="M35" i="11" s="1"/>
  <c r="E8" i="39" s="1"/>
  <c r="M36" i="11" l="1"/>
  <c r="B22" i="10"/>
  <c r="B45" i="10" s="1"/>
  <c r="M45" i="10" s="1"/>
  <c r="E9" i="39" l="1"/>
  <c r="E11" i="39" s="1"/>
  <c r="B36" i="10"/>
  <c r="M38" i="11"/>
  <c r="H37" i="10"/>
  <c r="H38" i="10" s="1"/>
  <c r="H39" i="10" s="1"/>
  <c r="B37" i="10"/>
  <c r="B38" i="10" l="1"/>
  <c r="B39" i="10" s="1"/>
  <c r="M37" i="10"/>
  <c r="H35" i="10"/>
  <c r="B35" i="10"/>
  <c r="H37" i="4"/>
  <c r="H38" i="4" s="1"/>
  <c r="H39" i="4" s="1"/>
  <c r="B37" i="4"/>
  <c r="B38" i="4" s="1"/>
  <c r="B39" i="4" s="1"/>
  <c r="B35" i="4"/>
  <c r="M41" i="4" l="1"/>
  <c r="G7" i="38" s="1"/>
  <c r="M37" i="4"/>
  <c r="C11" i="9" s="1"/>
  <c r="M35" i="10"/>
  <c r="C8" i="39" s="1"/>
  <c r="H35" i="4"/>
  <c r="M35" i="4" s="1"/>
  <c r="B8" i="39" s="1"/>
  <c r="G8" i="38" l="1"/>
  <c r="B5" i="9" s="1"/>
  <c r="J8" i="39"/>
  <c r="B11" i="9"/>
  <c r="M36" i="10"/>
  <c r="B18" i="34" l="1"/>
  <c r="I4" i="34" s="1"/>
  <c r="B6" i="9"/>
  <c r="C9" i="39"/>
  <c r="C11" i="39" s="1"/>
  <c r="M36" i="4"/>
  <c r="M38" i="10"/>
  <c r="B9" i="39" l="1"/>
  <c r="M38" i="4"/>
  <c r="J9" i="39" l="1"/>
  <c r="B11" i="39"/>
  <c r="J11" i="39" s="1"/>
  <c r="B7" i="9" l="1"/>
  <c r="B9" i="9"/>
  <c r="B22" i="9"/>
  <c r="B15" i="9"/>
  <c r="B2" i="34" s="1"/>
  <c r="B5" i="34" s="1"/>
  <c r="I2" i="34" l="1"/>
  <c r="B7" i="34"/>
  <c r="B9" i="34" s="1"/>
  <c r="I5" i="34"/>
  <c r="B16" i="34" l="1"/>
  <c r="I7" i="34"/>
  <c r="I16" i="34" l="1"/>
  <c r="I9" i="34"/>
</calcChain>
</file>

<file path=xl/sharedStrings.xml><?xml version="1.0" encoding="utf-8"?>
<sst xmlns="http://schemas.openxmlformats.org/spreadsheetml/2006/main" count="1711" uniqueCount="348">
  <si>
    <t>Yield</t>
  </si>
  <si>
    <t>Seed</t>
  </si>
  <si>
    <t>Fertilizers &amp; Nutrients</t>
  </si>
  <si>
    <t>Chemicals</t>
  </si>
  <si>
    <t>Custom Applications</t>
  </si>
  <si>
    <t>Irrigation Energy</t>
  </si>
  <si>
    <t>Interest</t>
  </si>
  <si>
    <t>Custom Harvest</t>
  </si>
  <si>
    <t>Post-harvest Expenses</t>
  </si>
  <si>
    <t>Check-offs, Board Fees</t>
  </si>
  <si>
    <t>Cash Land Rent</t>
  </si>
  <si>
    <t>Pre-Harvest and Harvest Machinery</t>
  </si>
  <si>
    <t>Irrigation Equipment</t>
  </si>
  <si>
    <t>Miscellaneous Overhead</t>
  </si>
  <si>
    <t>Production Expenses</t>
  </si>
  <si>
    <t>Operating Expenses</t>
  </si>
  <si>
    <t>Capital Recovery</t>
  </si>
  <si>
    <t>Total Specified Expenses</t>
  </si>
  <si>
    <t>Returns to Specified Expenses</t>
  </si>
  <si>
    <t>Acres</t>
  </si>
  <si>
    <t>Owned Land</t>
  </si>
  <si>
    <t>Diesel</t>
  </si>
  <si>
    <t>Electric</t>
  </si>
  <si>
    <t>Furrow Irrigation</t>
  </si>
  <si>
    <t>Irrigation Type</t>
  </si>
  <si>
    <t>Irrigation Power</t>
  </si>
  <si>
    <t>Pivot Irrigation</t>
  </si>
  <si>
    <t>N/A</t>
  </si>
  <si>
    <t>Non-irrigated</t>
  </si>
  <si>
    <t>Rented Land (Share or Cash)</t>
  </si>
  <si>
    <t>Portion of Year Financed</t>
  </si>
  <si>
    <t>Conventional</t>
  </si>
  <si>
    <t>Grower Share Revenue, %</t>
  </si>
  <si>
    <t>Corn</t>
  </si>
  <si>
    <t>Cotton</t>
  </si>
  <si>
    <t>Rice</t>
  </si>
  <si>
    <t>Soybean</t>
  </si>
  <si>
    <t>Sorghum</t>
  </si>
  <si>
    <t>Wheat</t>
  </si>
  <si>
    <t>Total</t>
  </si>
  <si>
    <t>Net Returns</t>
  </si>
  <si>
    <t>Repairs &amp; Maintenance, Total</t>
  </si>
  <si>
    <t>Labor, Field Activities</t>
  </si>
  <si>
    <t>Crop</t>
  </si>
  <si>
    <t>Operating Interest</t>
  </si>
  <si>
    <t>Crop, Returns to Operating Expenses</t>
  </si>
  <si>
    <t>Hybrid, Other</t>
  </si>
  <si>
    <t>Rice Seed Type</t>
  </si>
  <si>
    <t>Interest Rate</t>
  </si>
  <si>
    <t>Farm Price</t>
  </si>
  <si>
    <t>Total Revenue</t>
  </si>
  <si>
    <t>Grower Revenue</t>
  </si>
  <si>
    <t>Surface Irrigation</t>
  </si>
  <si>
    <t>Farm, Returns to Operating Expenses</t>
  </si>
  <si>
    <t>Capital Recovery &amp; Ownership Costs</t>
  </si>
  <si>
    <t>Owned Acres</t>
  </si>
  <si>
    <t>PLC, ARC Payments</t>
  </si>
  <si>
    <t>Grower Expense Percent, Share Rented Land</t>
  </si>
  <si>
    <t>Grower Share, Lint Revenue, %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</si>
  <si>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If no value entered, values are set equal to post-harvest expenses and board fees.</t>
    </r>
  </si>
  <si>
    <t>LDP</t>
  </si>
  <si>
    <t>Harvest Labor</t>
  </si>
  <si>
    <t>Pre-Harvest Labor</t>
  </si>
  <si>
    <t xml:space="preserve">   Promotions, Boards, Classing</t>
  </si>
  <si>
    <t xml:space="preserve">   Storage and Warehousing</t>
  </si>
  <si>
    <t xml:space="preserve">   Hauling, Ginning</t>
  </si>
  <si>
    <t>Interest, Annual Rate for 6 Months</t>
  </si>
  <si>
    <t>Scouting/Consultant Fee</t>
  </si>
  <si>
    <t>Other Inputs, Survey Levees</t>
  </si>
  <si>
    <t>Supplies (ex. polypipe, levee gates, other)</t>
  </si>
  <si>
    <t>Irrigation System Repairs &amp; Maintenance</t>
  </si>
  <si>
    <t>Irrigation Energy Cost</t>
  </si>
  <si>
    <t xml:space="preserve">   Repairs and Maintenance, Harvest</t>
  </si>
  <si>
    <t xml:space="preserve">   Diesel Fuel, Harvest</t>
  </si>
  <si>
    <t xml:space="preserve">   Repairs and Maintenance, Pre-Post Harvest</t>
  </si>
  <si>
    <t xml:space="preserve">   Diesel Fuel, Pre-Post Harvest</t>
  </si>
  <si>
    <t>Custom Chemical &amp; Fertilizer Applications</t>
  </si>
  <si>
    <t>Other Chemicals</t>
  </si>
  <si>
    <t>Insecticide</t>
  </si>
  <si>
    <t>Herbicide</t>
  </si>
  <si>
    <t>Other Nutrients</t>
  </si>
  <si>
    <t>Potash (K2O)</t>
  </si>
  <si>
    <t>Phosphate (P2O5)</t>
  </si>
  <si>
    <t>Nitrogen</t>
  </si>
  <si>
    <t>Boll Weevil Eradication Fee</t>
  </si>
  <si>
    <t>Seed, Includes All Fees</t>
  </si>
  <si>
    <t>NA</t>
  </si>
  <si>
    <t>Yield Change</t>
  </si>
  <si>
    <t>Closing Futures 3/19/2014</t>
  </si>
  <si>
    <t>Price Change</t>
  </si>
  <si>
    <t>Low</t>
  </si>
  <si>
    <t>5-Year</t>
  </si>
  <si>
    <t>Rice, LG</t>
  </si>
  <si>
    <t>Year</t>
  </si>
  <si>
    <t>Yield Wedge: County minus Farm</t>
  </si>
  <si>
    <t>FAPRI Price</t>
  </si>
  <si>
    <t>Price Wedge: Arkansas minus U.S.</t>
  </si>
  <si>
    <t>Expected: National Price - AWP</t>
  </si>
  <si>
    <t>National Loan Rate</t>
  </si>
  <si>
    <t xml:space="preserve">LDP Rate Paid </t>
  </si>
  <si>
    <t>County Yield</t>
  </si>
  <si>
    <t>Revenue Component (ARC Individual)</t>
  </si>
  <si>
    <t>Actual Crop Revenue</t>
  </si>
  <si>
    <t>Benchmark Component (ARC Individual)</t>
  </si>
  <si>
    <t>Benchmark Revenue</t>
  </si>
  <si>
    <t>ARC Guarantee</t>
  </si>
  <si>
    <t>Effective Price</t>
  </si>
  <si>
    <t>National Price</t>
  </si>
  <si>
    <t>Reference Price</t>
  </si>
  <si>
    <t>Maximum Payment Rate, if Applicable</t>
  </si>
  <si>
    <t>Olympic Averages</t>
  </si>
  <si>
    <t>Payment Rate</t>
  </si>
  <si>
    <t>2008-2012 average farm yield</t>
  </si>
  <si>
    <t>Transitional Payment</t>
  </si>
  <si>
    <t>May update payment yield with 90% of</t>
  </si>
  <si>
    <t>Payment (PLC or ARC)</t>
  </si>
  <si>
    <t>Marketing Loan Gains</t>
  </si>
  <si>
    <t>Not in Farm Bill calculations, used only to determine national-state price wedge</t>
  </si>
  <si>
    <t>2008-2012</t>
  </si>
  <si>
    <t>Average</t>
  </si>
  <si>
    <t>Planted Acreage</t>
  </si>
  <si>
    <t>Share Percent</t>
  </si>
  <si>
    <t>2009-2013</t>
  </si>
  <si>
    <t>Olympic Average</t>
  </si>
  <si>
    <t>Payment Acres (Base Acres)</t>
  </si>
  <si>
    <t xml:space="preserve">Payment Yield </t>
  </si>
  <si>
    <t>Olympic Average National Price</t>
  </si>
  <si>
    <t>Olympic Average County Yield, Planted</t>
  </si>
  <si>
    <t>County Yield, Planted, Actual</t>
  </si>
  <si>
    <t>Farm Yield, Planted Acreage</t>
  </si>
  <si>
    <t>Price and Yield</t>
  </si>
  <si>
    <t>Series</t>
  </si>
  <si>
    <t>State Price</t>
  </si>
  <si>
    <t>ARC (Individual) Farm Revenue</t>
  </si>
  <si>
    <t>National Price (Applied)</t>
  </si>
  <si>
    <t>Farm Yield</t>
  </si>
  <si>
    <t>Cotton 2014</t>
  </si>
  <si>
    <t>Agricultural Risk Coverage (Individual)</t>
  </si>
  <si>
    <t>Agricultural Risk Coverage (County)</t>
  </si>
  <si>
    <t>Price Loss Coverage</t>
  </si>
  <si>
    <t>Bu.</t>
  </si>
  <si>
    <t>Unit</t>
  </si>
  <si>
    <t>Rented Land</t>
  </si>
  <si>
    <t>Rice, MG</t>
  </si>
  <si>
    <t>Real Estate Tax Value, per acre</t>
  </si>
  <si>
    <t>Real Estate Taxes</t>
  </si>
  <si>
    <t>Peanut</t>
  </si>
  <si>
    <t>Ton</t>
  </si>
  <si>
    <t>Avg.</t>
  </si>
  <si>
    <t>Millage Rate</t>
  </si>
  <si>
    <t>Other</t>
  </si>
  <si>
    <t>Any</t>
  </si>
  <si>
    <t>Input Costs</t>
  </si>
  <si>
    <t>Other Inputs</t>
  </si>
  <si>
    <t>Fees</t>
  </si>
  <si>
    <t>Crop Insurance</t>
  </si>
  <si>
    <t>Repairs &amp; Maintenance</t>
  </si>
  <si>
    <t>Diesel Fuel, Field Activities</t>
  </si>
  <si>
    <t>Fixed Costs</t>
  </si>
  <si>
    <r>
      <t>Cottonseed Value</t>
    </r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$/bale</t>
    </r>
  </si>
  <si>
    <r>
      <t>Grower Revenue</t>
    </r>
    <r>
      <rPr>
        <vertAlign val="superscript"/>
        <sz val="11"/>
        <rFont val="Times New Roman"/>
        <family val="1"/>
      </rPr>
      <t>1</t>
    </r>
  </si>
  <si>
    <t>Estimate:</t>
  </si>
  <si>
    <t>Includes Personal Property Taxes and Equipment Insurance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</si>
  <si>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Cash rent is deducted from Total Revenue to calculate Grower Revenue.</t>
    </r>
  </si>
  <si>
    <t>Farm</t>
  </si>
  <si>
    <t>Net Farm Income from Operations</t>
  </si>
  <si>
    <t>PLC, ARC, LDP</t>
  </si>
  <si>
    <t>Total Capital Assets</t>
  </si>
  <si>
    <t>Interest Expense</t>
  </si>
  <si>
    <t>Land Value per Acre</t>
  </si>
  <si>
    <t>Adjusted Net Farm Income from Operations</t>
  </si>
  <si>
    <t>Real Estate Assets</t>
  </si>
  <si>
    <t>Total Assets</t>
  </si>
  <si>
    <t>Return to Assets</t>
  </si>
  <si>
    <t>Capital Interest</t>
  </si>
  <si>
    <t>ROA</t>
  </si>
  <si>
    <t>Personal Property Taxes</t>
  </si>
  <si>
    <t>Estimate</t>
  </si>
  <si>
    <t>Long-Grain Rice Seed Type</t>
  </si>
  <si>
    <t>Medium-Grain Rice Seed Type</t>
  </si>
  <si>
    <t>Management, Unpaid Labor</t>
  </si>
  <si>
    <t>Occupation (SOC code)</t>
  </si>
  <si>
    <t>Annual mean wage(2)</t>
  </si>
  <si>
    <t>Farmers, Ranchers, and Other Agricultural Managers(119013)</t>
  </si>
  <si>
    <t>Footnotes:</t>
  </si>
  <si>
    <t>(2) Annual wages have been calculated by multiplying the hourly mean wage by 2080 hours.</t>
  </si>
  <si>
    <t>SOC code: Standard Occupational Classification code -- see http://www.bls.gov/soc/home.htm</t>
  </si>
  <si>
    <t>http://data.bls.gov/oes/</t>
  </si>
  <si>
    <t>Area: Arkansas</t>
  </si>
  <si>
    <t>Management,              Unpaid Labor</t>
  </si>
  <si>
    <t>Rerturn to Assets</t>
  </si>
  <si>
    <t>PLC, ARC</t>
  </si>
  <si>
    <t>Interest Expenses</t>
  </si>
  <si>
    <t>Implement</t>
  </si>
  <si>
    <t>Years</t>
  </si>
  <si>
    <t>Paratill</t>
  </si>
  <si>
    <t>Disk</t>
  </si>
  <si>
    <t>Bedder, Hipper</t>
  </si>
  <si>
    <t>Chisel Plow</t>
  </si>
  <si>
    <t>Harrow</t>
  </si>
  <si>
    <t>Roller</t>
  </si>
  <si>
    <t>Bedder-Roller</t>
  </si>
  <si>
    <t>Ditcher</t>
  </si>
  <si>
    <t>Rotary Harrow (ex. Phillips)</t>
  </si>
  <si>
    <t>Field Cultivator</t>
  </si>
  <si>
    <t>Sprayer, Tractor Mounted (ft)</t>
  </si>
  <si>
    <t>Sprayer, Tractor Mounted (row)</t>
  </si>
  <si>
    <t>Land Plane</t>
  </si>
  <si>
    <t>Fertilizer, Broadcast Spreader</t>
  </si>
  <si>
    <t>Do All, Seedbed Finisher</t>
  </si>
  <si>
    <t>Planter</t>
  </si>
  <si>
    <t>Planter Twin Row</t>
  </si>
  <si>
    <t>Liquid Fertilizer Applicator</t>
  </si>
  <si>
    <t>Polypipe; Roll Out, Punch, Take Up</t>
  </si>
  <si>
    <t>Hooded Sprayer</t>
  </si>
  <si>
    <t>Levee Pull</t>
  </si>
  <si>
    <t>Levee Pull, Planter/Incorporate</t>
  </si>
  <si>
    <t>Levee Roller-Packer-Shaper</t>
  </si>
  <si>
    <t>Install Gates &amp; Remove</t>
  </si>
  <si>
    <t>Peanut Digger/Inverter</t>
  </si>
  <si>
    <t>Peanut Conditioner</t>
  </si>
  <si>
    <t>Peanut Conditiner &amp; Lifter</t>
  </si>
  <si>
    <t>Mower, Stalk Shredder</t>
  </si>
  <si>
    <t>Other Equipment</t>
  </si>
  <si>
    <t>Self-Propelled Pre-Harvest</t>
  </si>
  <si>
    <t>Self-Propelled Sprayer</t>
  </si>
  <si>
    <t>ATV with  Spot, Levee Sprayer</t>
  </si>
  <si>
    <t>Self-Propelled and Other Harvest</t>
  </si>
  <si>
    <t>Cotton Picker</t>
  </si>
  <si>
    <t>Cotton Picker: Module-Building</t>
  </si>
  <si>
    <t>Combine</t>
  </si>
  <si>
    <t>Corn Head</t>
  </si>
  <si>
    <t>Soybean Head</t>
  </si>
  <si>
    <t>Rice Head</t>
  </si>
  <si>
    <t>Wheat/Sorghum Head</t>
  </si>
  <si>
    <t>Other Harvest</t>
  </si>
  <si>
    <t>Hours</t>
  </si>
  <si>
    <t xml:space="preserve"> </t>
  </si>
  <si>
    <t>Crop 1</t>
  </si>
  <si>
    <t>Crop 2</t>
  </si>
  <si>
    <t>Crop 3</t>
  </si>
  <si>
    <t>Crop 4</t>
  </si>
  <si>
    <t>Crop 5</t>
  </si>
  <si>
    <t>Crop 6</t>
  </si>
  <si>
    <t>Units</t>
  </si>
  <si>
    <t>Tractor</t>
  </si>
  <si>
    <t>Unit Price</t>
  </si>
  <si>
    <t>Farm Cost</t>
  </si>
  <si>
    <t>Salvage Percent</t>
  </si>
  <si>
    <t>Annual Factor</t>
  </si>
  <si>
    <t>Annual Expense</t>
  </si>
  <si>
    <t>Annual Principle</t>
  </si>
  <si>
    <t>Annual Interest</t>
  </si>
  <si>
    <t>Salvage Value</t>
  </si>
  <si>
    <t>Average Asset</t>
  </si>
  <si>
    <t>Property Tax</t>
  </si>
  <si>
    <t>Annual Insurance</t>
  </si>
  <si>
    <t>Insurance Rate</t>
  </si>
  <si>
    <t>Property Tax Rate</t>
  </si>
  <si>
    <t>Pick-up Truck</t>
  </si>
  <si>
    <t xml:space="preserve">Other </t>
  </si>
  <si>
    <t>Back hoe</t>
  </si>
  <si>
    <t>Annual Gallons</t>
  </si>
  <si>
    <t>Fuel Expense</t>
  </si>
  <si>
    <t>Annual Hours</t>
  </si>
  <si>
    <t>Hourly Wage</t>
  </si>
  <si>
    <t>Annual Wages</t>
  </si>
  <si>
    <t>Property Rate</t>
  </si>
  <si>
    <t>Percent of Time, Repairs &amp; Maintenance</t>
  </si>
  <si>
    <t>Estimated Repair &amp; Maintenance Value</t>
  </si>
  <si>
    <t>Hired Labor, First Wage Rate</t>
  </si>
  <si>
    <t>Hired Labor, Second Wage Rate</t>
  </si>
  <si>
    <t>Hired Labor, Third Wage Rate</t>
  </si>
  <si>
    <t>Hired Labor, Fourth Wage Rate</t>
  </si>
  <si>
    <t>Imputed Annual Farm Repair &amp; Maintenance Costs</t>
  </si>
  <si>
    <t>Well</t>
  </si>
  <si>
    <t>Pump &amp; Intake, Surface Source</t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</si>
  <si>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2"/>
      </rPr>
      <t>Structurs are included in owned land value.</t>
    </r>
  </si>
  <si>
    <r>
      <t>Structurs</t>
    </r>
    <r>
      <rPr>
        <vertAlign val="superscript"/>
        <sz val="10"/>
        <color theme="1"/>
        <rFont val="Times New Roman"/>
        <family val="1"/>
      </rPr>
      <t>2</t>
    </r>
  </si>
  <si>
    <r>
      <t>Irrigation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</t>
    </r>
  </si>
  <si>
    <t>and center pivot systems are included in real estate value of owned land.</t>
  </si>
  <si>
    <t>Applied Farm Repair &amp; Maintenance Expense</t>
  </si>
  <si>
    <t>Estimated Annual Labor, Field Activities</t>
  </si>
  <si>
    <t>Applied Annual Labor, Total</t>
  </si>
  <si>
    <t>Tractor 230 hp</t>
  </si>
  <si>
    <t>Tractor xxx hp</t>
  </si>
  <si>
    <t>Applied Rate</t>
  </si>
  <si>
    <t>Crop Costs and Returns Summary</t>
  </si>
  <si>
    <t>Stubble Roller</t>
  </si>
  <si>
    <t>Mobile Tank</t>
  </si>
  <si>
    <t>Take Down Levees</t>
  </si>
  <si>
    <t xml:space="preserve">  Input Costs, Repairs &amp; Maintenance, Hired Labor, &amp; Production Related Fees</t>
  </si>
  <si>
    <t xml:space="preserve">  Production Expenses, Operating Interest, Custom Harvest, Post-harvest Expenses,</t>
  </si>
  <si>
    <t xml:space="preserve">  Check-offs, &amp; Board Fees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</si>
  <si>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Insurance and property taxes for e</t>
    </r>
    <r>
      <rPr>
        <sz val="10"/>
        <color theme="1"/>
        <rFont val="Times New Roman"/>
        <family val="2"/>
      </rPr>
      <t xml:space="preserve">lectric construction, wells, subsurface pumps, </t>
    </r>
  </si>
  <si>
    <t>Annual Labor Value, Repairs &amp; Maintenance</t>
  </si>
  <si>
    <t>Farm Costs and Returns Summary, 2025</t>
  </si>
  <si>
    <t>Data extracted on November 18, 2024</t>
  </si>
  <si>
    <t>Period: May 2023</t>
  </si>
  <si>
    <t>https://www.bls.gov/oes/current/oes119013.htm</t>
  </si>
  <si>
    <t xml:space="preserve">SOC code 119013: Average for AR </t>
  </si>
  <si>
    <t>Other Inputs (poly-pipe)</t>
  </si>
  <si>
    <t>Fees (crop consultant)</t>
  </si>
  <si>
    <t>Post-harvest Expenses (drying/cleaning)</t>
  </si>
  <si>
    <t>Yield (tons/acre)</t>
  </si>
  <si>
    <t>Farm Price ($/ton)</t>
  </si>
  <si>
    <t>Conventional Hybrid</t>
  </si>
  <si>
    <t>Variety</t>
  </si>
  <si>
    <t>FullPage        Hybrid</t>
  </si>
  <si>
    <t>Subsoiler, 25 ft.</t>
  </si>
  <si>
    <t>Subsoiler, 5 shank</t>
  </si>
  <si>
    <t>Bedder, Rip/Disk</t>
  </si>
  <si>
    <t>Bedder, Lister</t>
  </si>
  <si>
    <t>Turbo Tiller</t>
  </si>
  <si>
    <t>Row Crop Cultivator, Row Middles</t>
  </si>
  <si>
    <t>Plant Grain Drill</t>
  </si>
  <si>
    <t>Plant No-Till Air Drill</t>
  </si>
  <si>
    <t>Fertilizer, Knife Rig 12 Row</t>
  </si>
  <si>
    <t>Dry Box Spreader</t>
  </si>
  <si>
    <t>Boll Buggy with Tractor</t>
  </si>
  <si>
    <t>Module Builder with Tractor</t>
  </si>
  <si>
    <t>Module Handler with Tractor</t>
  </si>
  <si>
    <t>Grain Cart with Tractor</t>
  </si>
  <si>
    <t>Peanut Harvester, with Tractor</t>
  </si>
  <si>
    <t>Peanut Dump Cart with Tractor</t>
  </si>
  <si>
    <t>Peanut Wagon, 28 ft., with Tractor</t>
  </si>
  <si>
    <t>Tractor 195 hp</t>
  </si>
  <si>
    <t>Tractor 175 hp</t>
  </si>
  <si>
    <t>Pump1, Subsurface Source</t>
  </si>
  <si>
    <t>PU2 Furrow, Flood</t>
  </si>
  <si>
    <t>PU2 Center Pivot</t>
  </si>
  <si>
    <t>Electricity Construction</t>
  </si>
  <si>
    <t>Center Pivot Towers, $/ft</t>
  </si>
  <si>
    <t>Converting Generator3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</si>
  <si>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If no value entered in  worksheet X_Cotton, values are set equal to post-harvest expenses and board fees.</t>
    </r>
  </si>
  <si>
    <t xml:space="preserve">enter actual total </t>
  </si>
  <si>
    <t>Number Employees</t>
  </si>
  <si>
    <t>BUDGET REVISIONS CAN BE MADE HERE</t>
  </si>
  <si>
    <t>Peanuts</t>
  </si>
  <si>
    <t>Soybeans</t>
  </si>
  <si>
    <t>Long-Grain Rice</t>
  </si>
  <si>
    <t>Medium Grain Rice</t>
  </si>
  <si>
    <t>Yield (bu./acre)</t>
  </si>
  <si>
    <t>Farm Price ($/bu.)</t>
  </si>
  <si>
    <t>Yield (lbs/acre)</t>
  </si>
  <si>
    <t>Farm Price ($/lb)</t>
  </si>
  <si>
    <t>CELLS ON THIS PAGE WILL AUTOMATICALLY CALCULATE</t>
  </si>
  <si>
    <t>Total Acres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</si>
</sst>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"/>
    <numFmt numFmtId="167" formatCode="0.0%"/>
    <numFmt numFmtId="168" formatCode="0.00000"/>
    <numFmt numFmtId="169" formatCode="0.000%"/>
  </numFmts>
  <fonts count="44" x14ac:knownFonts="1"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Times New Roman"/>
      <family val="1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1"/>
      <name val="Times New Roman"/>
      <family val="2"/>
    </font>
    <font>
      <u/>
      <sz val="11"/>
      <color theme="1"/>
      <name val="Times New Roman"/>
      <family val="2"/>
    </font>
    <font>
      <vertAlign val="superscript"/>
      <sz val="11"/>
      <color theme="1"/>
      <name val="Times New Roman"/>
      <family val="1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name val="Times New Roman"/>
      <family val="1"/>
    </font>
    <font>
      <b/>
      <sz val="11"/>
      <color theme="1"/>
      <name val="Times New Roman"/>
      <family val="2"/>
    </font>
    <font>
      <u/>
      <sz val="11"/>
      <color theme="10"/>
      <name val="Times New Roman"/>
      <family val="2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name val="Times New Roman"/>
      <family val="1"/>
    </font>
    <font>
      <sz val="11"/>
      <color rgb="FFFF0000"/>
      <name val="Times New Roman"/>
      <family val="2"/>
    </font>
    <font>
      <sz val="11"/>
      <color theme="1"/>
      <name val="Times New Roman"/>
      <family val="2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8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5" fillId="0" borderId="0" applyNumberFormat="0" applyFill="0" applyBorder="0" applyAlignment="0" applyProtection="0"/>
    <xf numFmtId="44" fontId="43" fillId="0" borderId="0" applyFont="0" applyFill="0" applyBorder="0" applyAlignment="0" applyProtection="0"/>
  </cellStyleXfs>
  <cellXfs count="594">
    <xf numFmtId="0" fontId="0" fillId="0" borderId="0" xfId="0"/>
    <xf numFmtId="2" fontId="0" fillId="35" borderId="0" xfId="0" applyNumberFormat="1" applyFill="1"/>
    <xf numFmtId="0" fontId="0" fillId="34" borderId="20" xfId="0" applyFill="1" applyBorder="1"/>
    <xf numFmtId="3" fontId="0" fillId="34" borderId="20" xfId="0" applyNumberFormat="1" applyFill="1" applyBorder="1"/>
    <xf numFmtId="1" fontId="0" fillId="34" borderId="20" xfId="0" applyNumberFormat="1" applyFill="1" applyBorder="1"/>
    <xf numFmtId="2" fontId="0" fillId="34" borderId="20" xfId="0" applyNumberFormat="1" applyFill="1" applyBorder="1"/>
    <xf numFmtId="9" fontId="0" fillId="34" borderId="20" xfId="0" applyNumberFormat="1" applyFill="1" applyBorder="1"/>
    <xf numFmtId="3" fontId="0" fillId="36" borderId="10" xfId="0" applyNumberFormat="1" applyFill="1" applyBorder="1"/>
    <xf numFmtId="3" fontId="0" fillId="38" borderId="10" xfId="0" applyNumberFormat="1" applyFill="1" applyBorder="1"/>
    <xf numFmtId="3" fontId="0" fillId="37" borderId="10" xfId="0" applyNumberFormat="1" applyFill="1" applyBorder="1"/>
    <xf numFmtId="0" fontId="0" fillId="36" borderId="0" xfId="0" applyFill="1" applyAlignment="1">
      <alignment horizontal="center"/>
    </xf>
    <xf numFmtId="0" fontId="0" fillId="38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6" fillId="35" borderId="17" xfId="3" applyFont="1" applyFill="1" applyBorder="1"/>
    <xf numFmtId="2" fontId="0" fillId="34" borderId="19" xfId="0" applyNumberFormat="1" applyFill="1" applyBorder="1"/>
    <xf numFmtId="0" fontId="0" fillId="33" borderId="0" xfId="0" applyFill="1"/>
    <xf numFmtId="0" fontId="3" fillId="39" borderId="17" xfId="2" applyFont="1" applyFill="1" applyBorder="1"/>
    <xf numFmtId="2" fontId="0" fillId="39" borderId="0" xfId="0" applyNumberFormat="1" applyFill="1"/>
    <xf numFmtId="0" fontId="0" fillId="39" borderId="17" xfId="0" applyFill="1" applyBorder="1"/>
    <xf numFmtId="0" fontId="0" fillId="39" borderId="0" xfId="0" applyFill="1"/>
    <xf numFmtId="0" fontId="2" fillId="39" borderId="17" xfId="2" applyFill="1" applyBorder="1"/>
    <xf numFmtId="9" fontId="23" fillId="0" borderId="21" xfId="0" applyNumberFormat="1" applyFont="1" applyBorder="1"/>
    <xf numFmtId="2" fontId="0" fillId="33" borderId="0" xfId="0" applyNumberFormat="1" applyFill="1"/>
    <xf numFmtId="9" fontId="0" fillId="33" borderId="10" xfId="0" applyNumberFormat="1" applyFill="1" applyBorder="1"/>
    <xf numFmtId="2" fontId="0" fillId="33" borderId="10" xfId="0" applyNumberFormat="1" applyFill="1" applyBorder="1"/>
    <xf numFmtId="0" fontId="0" fillId="36" borderId="23" xfId="0" applyFill="1" applyBorder="1" applyAlignment="1">
      <alignment horizontal="centerContinuous"/>
    </xf>
    <xf numFmtId="0" fontId="0" fillId="38" borderId="23" xfId="0" applyFill="1" applyBorder="1" applyAlignment="1">
      <alignment horizontal="centerContinuous"/>
    </xf>
    <xf numFmtId="0" fontId="0" fillId="37" borderId="24" xfId="0" applyFill="1" applyBorder="1" applyAlignment="1">
      <alignment horizontal="centerContinuous" wrapText="1"/>
    </xf>
    <xf numFmtId="0" fontId="0" fillId="37" borderId="23" xfId="0" applyFill="1" applyBorder="1" applyAlignment="1">
      <alignment horizontal="centerContinuous" wrapText="1"/>
    </xf>
    <xf numFmtId="0" fontId="0" fillId="34" borderId="10" xfId="0" applyFill="1" applyBorder="1"/>
    <xf numFmtId="0" fontId="3" fillId="35" borderId="17" xfId="2" applyFont="1" applyFill="1" applyBorder="1"/>
    <xf numFmtId="0" fontId="5" fillId="35" borderId="17" xfId="2" applyFont="1" applyFill="1" applyBorder="1"/>
    <xf numFmtId="2" fontId="5" fillId="35" borderId="17" xfId="3" applyNumberFormat="1" applyFont="1" applyFill="1" applyBorder="1" applyProtection="1">
      <protection hidden="1"/>
    </xf>
    <xf numFmtId="1" fontId="0" fillId="33" borderId="10" xfId="0" applyNumberFormat="1" applyFill="1" applyBorder="1"/>
    <xf numFmtId="0" fontId="0" fillId="35" borderId="11" xfId="0" applyFill="1" applyBorder="1"/>
    <xf numFmtId="0" fontId="0" fillId="35" borderId="17" xfId="0" applyFill="1" applyBorder="1"/>
    <xf numFmtId="0" fontId="0" fillId="35" borderId="15" xfId="0" applyFill="1" applyBorder="1" applyAlignment="1">
      <alignment horizontal="centerContinuous"/>
    </xf>
    <xf numFmtId="0" fontId="9" fillId="35" borderId="15" xfId="0" applyFont="1" applyFill="1" applyBorder="1" applyAlignment="1">
      <alignment horizontal="centerContinuous"/>
    </xf>
    <xf numFmtId="3" fontId="0" fillId="35" borderId="0" xfId="0" applyNumberFormat="1" applyFill="1"/>
    <xf numFmtId="9" fontId="0" fillId="33" borderId="26" xfId="0" applyNumberFormat="1" applyFill="1" applyBorder="1"/>
    <xf numFmtId="3" fontId="0" fillId="33" borderId="10" xfId="0" applyNumberFormat="1" applyFill="1" applyBorder="1"/>
    <xf numFmtId="0" fontId="0" fillId="34" borderId="0" xfId="0" applyFill="1"/>
    <xf numFmtId="3" fontId="0" fillId="33" borderId="26" xfId="0" applyNumberFormat="1" applyFill="1" applyBorder="1"/>
    <xf numFmtId="3" fontId="0" fillId="34" borderId="19" xfId="0" applyNumberFormat="1" applyFill="1" applyBorder="1"/>
    <xf numFmtId="0" fontId="0" fillId="40" borderId="17" xfId="0" applyFill="1" applyBorder="1"/>
    <xf numFmtId="0" fontId="9" fillId="40" borderId="15" xfId="0" applyFont="1" applyFill="1" applyBorder="1" applyAlignment="1">
      <alignment horizontal="centerContinuous"/>
    </xf>
    <xf numFmtId="0" fontId="0" fillId="40" borderId="15" xfId="0" applyFill="1" applyBorder="1" applyAlignment="1">
      <alignment horizontal="centerContinuous"/>
    </xf>
    <xf numFmtId="0" fontId="5" fillId="40" borderId="17" xfId="2" applyFont="1" applyFill="1" applyBorder="1"/>
    <xf numFmtId="2" fontId="5" fillId="40" borderId="17" xfId="3" applyNumberFormat="1" applyFont="1" applyFill="1" applyBorder="1" applyProtection="1">
      <protection hidden="1"/>
    </xf>
    <xf numFmtId="0" fontId="6" fillId="40" borderId="17" xfId="3" applyFont="1" applyFill="1" applyBorder="1"/>
    <xf numFmtId="0" fontId="3" fillId="40" borderId="17" xfId="2" applyFont="1" applyFill="1" applyBorder="1"/>
    <xf numFmtId="0" fontId="5" fillId="40" borderId="17" xfId="3" applyFont="1" applyFill="1" applyBorder="1"/>
    <xf numFmtId="1" fontId="0" fillId="33" borderId="25" xfId="0" applyNumberFormat="1" applyFill="1" applyBorder="1"/>
    <xf numFmtId="2" fontId="0" fillId="33" borderId="25" xfId="0" applyNumberFormat="1" applyFill="1" applyBorder="1"/>
    <xf numFmtId="9" fontId="0" fillId="33" borderId="25" xfId="0" applyNumberFormat="1" applyFill="1" applyBorder="1"/>
    <xf numFmtId="1" fontId="0" fillId="34" borderId="27" xfId="0" applyNumberFormat="1" applyFill="1" applyBorder="1"/>
    <xf numFmtId="2" fontId="0" fillId="34" borderId="28" xfId="0" applyNumberFormat="1" applyFill="1" applyBorder="1"/>
    <xf numFmtId="0" fontId="0" fillId="35" borderId="0" xfId="0" applyFill="1"/>
    <xf numFmtId="0" fontId="6" fillId="38" borderId="0" xfId="3" applyFont="1" applyFill="1"/>
    <xf numFmtId="0" fontId="0" fillId="38" borderId="0" xfId="0" applyFill="1"/>
    <xf numFmtId="0" fontId="0" fillId="35" borderId="23" xfId="0" applyFill="1" applyBorder="1"/>
    <xf numFmtId="0" fontId="0" fillId="35" borderId="23" xfId="0" applyFill="1" applyBorder="1" applyAlignment="1">
      <alignment horizontal="center"/>
    </xf>
    <xf numFmtId="0" fontId="5" fillId="35" borderId="0" xfId="3" applyFont="1" applyFill="1"/>
    <xf numFmtId="0" fontId="6" fillId="35" borderId="0" xfId="0" applyFont="1" applyFill="1"/>
    <xf numFmtId="0" fontId="6" fillId="35" borderId="0" xfId="0" applyFont="1" applyFill="1" applyAlignment="1">
      <alignment wrapText="1"/>
    </xf>
    <xf numFmtId="0" fontId="9" fillId="35" borderId="23" xfId="0" applyFont="1" applyFill="1" applyBorder="1"/>
    <xf numFmtId="2" fontId="5" fillId="35" borderId="0" xfId="2" applyNumberFormat="1" applyFont="1" applyFill="1" applyAlignment="1">
      <alignment wrapText="1"/>
    </xf>
    <xf numFmtId="0" fontId="0" fillId="34" borderId="30" xfId="0" applyFill="1" applyBorder="1"/>
    <xf numFmtId="0" fontId="0" fillId="36" borderId="32" xfId="0" applyFill="1" applyBorder="1" applyAlignment="1">
      <alignment horizontal="centerContinuous"/>
    </xf>
    <xf numFmtId="0" fontId="0" fillId="36" borderId="30" xfId="0" applyFill="1" applyBorder="1" applyAlignment="1">
      <alignment horizontal="center"/>
    </xf>
    <xf numFmtId="0" fontId="0" fillId="37" borderId="22" xfId="0" applyFill="1" applyBorder="1" applyAlignment="1">
      <alignment horizontal="center"/>
    </xf>
    <xf numFmtId="0" fontId="0" fillId="39" borderId="30" xfId="0" applyFill="1" applyBorder="1"/>
    <xf numFmtId="0" fontId="0" fillId="39" borderId="22" xfId="0" applyFill="1" applyBorder="1"/>
    <xf numFmtId="2" fontId="0" fillId="33" borderId="30" xfId="0" applyNumberFormat="1" applyFill="1" applyBorder="1"/>
    <xf numFmtId="2" fontId="0" fillId="33" borderId="22" xfId="0" applyNumberFormat="1" applyFill="1" applyBorder="1"/>
    <xf numFmtId="2" fontId="0" fillId="39" borderId="30" xfId="0" applyNumberFormat="1" applyFill="1" applyBorder="1"/>
    <xf numFmtId="2" fontId="0" fillId="39" borderId="22" xfId="0" applyNumberFormat="1" applyFill="1" applyBorder="1"/>
    <xf numFmtId="2" fontId="0" fillId="39" borderId="32" xfId="0" applyNumberFormat="1" applyFill="1" applyBorder="1"/>
    <xf numFmtId="2" fontId="0" fillId="39" borderId="23" xfId="0" applyNumberFormat="1" applyFill="1" applyBorder="1"/>
    <xf numFmtId="2" fontId="0" fillId="39" borderId="24" xfId="0" applyNumberFormat="1" applyFill="1" applyBorder="1"/>
    <xf numFmtId="0" fontId="0" fillId="36" borderId="33" xfId="0" applyFill="1" applyBorder="1" applyAlignment="1">
      <alignment horizontal="center"/>
    </xf>
    <xf numFmtId="0" fontId="0" fillId="38" borderId="33" xfId="0" applyFill="1" applyBorder="1" applyAlignment="1">
      <alignment horizontal="center"/>
    </xf>
    <xf numFmtId="3" fontId="0" fillId="36" borderId="33" xfId="0" applyNumberFormat="1" applyFill="1" applyBorder="1"/>
    <xf numFmtId="3" fontId="0" fillId="38" borderId="33" xfId="0" applyNumberFormat="1" applyFill="1" applyBorder="1"/>
    <xf numFmtId="0" fontId="0" fillId="39" borderId="33" xfId="0" applyFill="1" applyBorder="1"/>
    <xf numFmtId="4" fontId="0" fillId="41" borderId="31" xfId="0" applyNumberFormat="1" applyFill="1" applyBorder="1"/>
    <xf numFmtId="0" fontId="0" fillId="41" borderId="31" xfId="0" applyFill="1" applyBorder="1"/>
    <xf numFmtId="2" fontId="23" fillId="41" borderId="30" xfId="0" applyNumberFormat="1" applyFont="1" applyFill="1" applyBorder="1"/>
    <xf numFmtId="0" fontId="0" fillId="41" borderId="0" xfId="0" applyFill="1"/>
    <xf numFmtId="9" fontId="0" fillId="41" borderId="23" xfId="0" applyNumberFormat="1" applyFill="1" applyBorder="1"/>
    <xf numFmtId="0" fontId="0" fillId="41" borderId="23" xfId="0" applyFill="1" applyBorder="1"/>
    <xf numFmtId="9" fontId="23" fillId="0" borderId="10" xfId="0" applyNumberFormat="1" applyFont="1" applyBorder="1"/>
    <xf numFmtId="2" fontId="23" fillId="41" borderId="29" xfId="0" applyNumberFormat="1" applyFont="1" applyFill="1" applyBorder="1"/>
    <xf numFmtId="2" fontId="23" fillId="41" borderId="32" xfId="0" applyNumberFormat="1" applyFont="1" applyFill="1" applyBorder="1"/>
    <xf numFmtId="2" fontId="0" fillId="39" borderId="25" xfId="0" applyNumberFormat="1" applyFill="1" applyBorder="1"/>
    <xf numFmtId="2" fontId="0" fillId="39" borderId="33" xfId="0" applyNumberFormat="1" applyFill="1" applyBorder="1"/>
    <xf numFmtId="3" fontId="0" fillId="41" borderId="0" xfId="0" applyNumberFormat="1" applyFill="1"/>
    <xf numFmtId="3" fontId="0" fillId="41" borderId="16" xfId="0" applyNumberFormat="1" applyFill="1" applyBorder="1"/>
    <xf numFmtId="0" fontId="0" fillId="42" borderId="0" xfId="0" applyFill="1"/>
    <xf numFmtId="2" fontId="23" fillId="42" borderId="16" xfId="0" applyNumberFormat="1" applyFont="1" applyFill="1" applyBorder="1"/>
    <xf numFmtId="0" fontId="0" fillId="42" borderId="16" xfId="0" applyFill="1" applyBorder="1"/>
    <xf numFmtId="0" fontId="6" fillId="43" borderId="17" xfId="3" applyFont="1" applyFill="1" applyBorder="1"/>
    <xf numFmtId="0" fontId="9" fillId="40" borderId="34" xfId="0" applyFont="1" applyFill="1" applyBorder="1" applyAlignment="1">
      <alignment horizontal="centerContinuous"/>
    </xf>
    <xf numFmtId="0" fontId="0" fillId="34" borderId="35" xfId="0" applyFill="1" applyBorder="1" applyAlignment="1">
      <alignment horizontal="centerContinuous"/>
    </xf>
    <xf numFmtId="0" fontId="0" fillId="40" borderId="36" xfId="0" applyFill="1" applyBorder="1" applyAlignment="1">
      <alignment horizontal="centerContinuous"/>
    </xf>
    <xf numFmtId="0" fontId="0" fillId="40" borderId="12" xfId="0" applyFill="1" applyBorder="1" applyAlignment="1">
      <alignment horizontal="centerContinuous"/>
    </xf>
    <xf numFmtId="0" fontId="0" fillId="37" borderId="37" xfId="0" applyFill="1" applyBorder="1" applyAlignment="1">
      <alignment horizontal="centerContinuous" wrapText="1"/>
    </xf>
    <xf numFmtId="0" fontId="0" fillId="37" borderId="38" xfId="0" applyFill="1" applyBorder="1" applyAlignment="1">
      <alignment horizontal="center"/>
    </xf>
    <xf numFmtId="3" fontId="0" fillId="37" borderId="38" xfId="0" applyNumberFormat="1" applyFill="1" applyBorder="1"/>
    <xf numFmtId="0" fontId="0" fillId="39" borderId="38" xfId="0" applyFill="1" applyBorder="1"/>
    <xf numFmtId="0" fontId="0" fillId="41" borderId="39" xfId="0" applyFill="1" applyBorder="1"/>
    <xf numFmtId="0" fontId="0" fillId="41" borderId="18" xfId="0" applyFill="1" applyBorder="1"/>
    <xf numFmtId="0" fontId="0" fillId="41" borderId="37" xfId="0" applyFill="1" applyBorder="1"/>
    <xf numFmtId="2" fontId="0" fillId="39" borderId="38" xfId="0" applyNumberFormat="1" applyFill="1" applyBorder="1"/>
    <xf numFmtId="0" fontId="2" fillId="39" borderId="40" xfId="2" applyFill="1" applyBorder="1"/>
    <xf numFmtId="3" fontId="0" fillId="42" borderId="0" xfId="0" applyNumberFormat="1" applyFill="1"/>
    <xf numFmtId="0" fontId="0" fillId="42" borderId="18" xfId="0" applyFill="1" applyBorder="1"/>
    <xf numFmtId="0" fontId="0" fillId="42" borderId="14" xfId="0" applyFill="1" applyBorder="1"/>
    <xf numFmtId="9" fontId="23" fillId="0" borderId="26" xfId="0" applyNumberFormat="1" applyFont="1" applyBorder="1"/>
    <xf numFmtId="0" fontId="0" fillId="34" borderId="41" xfId="0" applyFill="1" applyBorder="1" applyAlignment="1">
      <alignment horizontal="centerContinuous"/>
    </xf>
    <xf numFmtId="0" fontId="24" fillId="42" borderId="0" xfId="0" applyFont="1" applyFill="1" applyAlignment="1">
      <alignment horizontal="center"/>
    </xf>
    <xf numFmtId="0" fontId="0" fillId="42" borderId="0" xfId="0" applyFill="1" applyAlignment="1">
      <alignment wrapText="1"/>
    </xf>
    <xf numFmtId="0" fontId="26" fillId="40" borderId="17" xfId="2" applyFont="1" applyFill="1" applyBorder="1" applyAlignment="1">
      <alignment vertical="top"/>
    </xf>
    <xf numFmtId="2" fontId="0" fillId="40" borderId="30" xfId="0" applyNumberFormat="1" applyFill="1" applyBorder="1"/>
    <xf numFmtId="2" fontId="0" fillId="40" borderId="0" xfId="0" applyNumberFormat="1" applyFill="1"/>
    <xf numFmtId="2" fontId="0" fillId="40" borderId="29" xfId="0" applyNumberFormat="1" applyFill="1" applyBorder="1"/>
    <xf numFmtId="2" fontId="0" fillId="40" borderId="22" xfId="0" applyNumberFormat="1" applyFill="1" applyBorder="1"/>
    <xf numFmtId="2" fontId="0" fillId="33" borderId="10" xfId="0" applyNumberFormat="1" applyFill="1" applyBorder="1" applyAlignment="1">
      <alignment vertical="center"/>
    </xf>
    <xf numFmtId="3" fontId="0" fillId="33" borderId="10" xfId="0" applyNumberFormat="1" applyFill="1" applyBorder="1" applyAlignment="1">
      <alignment vertical="center"/>
    </xf>
    <xf numFmtId="0" fontId="0" fillId="35" borderId="0" xfId="0" applyFill="1" applyAlignment="1">
      <alignment vertical="center"/>
    </xf>
    <xf numFmtId="3" fontId="0" fillId="35" borderId="0" xfId="0" applyNumberFormat="1" applyFill="1" applyAlignment="1">
      <alignment vertical="center"/>
    </xf>
    <xf numFmtId="9" fontId="0" fillId="41" borderId="0" xfId="0" applyNumberFormat="1" applyFill="1"/>
    <xf numFmtId="9" fontId="23" fillId="41" borderId="23" xfId="0" applyNumberFormat="1" applyFont="1" applyFill="1" applyBorder="1"/>
    <xf numFmtId="9" fontId="23" fillId="41" borderId="37" xfId="0" applyNumberFormat="1" applyFont="1" applyFill="1" applyBorder="1"/>
    <xf numFmtId="0" fontId="0" fillId="44" borderId="0" xfId="0" applyFill="1"/>
    <xf numFmtId="2" fontId="0" fillId="0" borderId="0" xfId="0" applyNumberFormat="1"/>
    <xf numFmtId="0" fontId="0" fillId="34" borderId="0" xfId="0" applyFill="1" applyProtection="1">
      <protection locked="0"/>
    </xf>
    <xf numFmtId="4" fontId="0" fillId="34" borderId="0" xfId="0" applyNumberFormat="1" applyFill="1"/>
    <xf numFmtId="0" fontId="0" fillId="34" borderId="24" xfId="0" applyFill="1" applyBorder="1"/>
    <xf numFmtId="2" fontId="0" fillId="33" borderId="23" xfId="0" applyNumberFormat="1" applyFill="1" applyBorder="1"/>
    <xf numFmtId="2" fontId="29" fillId="33" borderId="23" xfId="0" applyNumberFormat="1" applyFont="1" applyFill="1" applyBorder="1"/>
    <xf numFmtId="0" fontId="0" fillId="34" borderId="32" xfId="0" applyFill="1" applyBorder="1"/>
    <xf numFmtId="0" fontId="0" fillId="34" borderId="22" xfId="0" applyFill="1" applyBorder="1"/>
    <xf numFmtId="16" fontId="0" fillId="46" borderId="33" xfId="0" applyNumberFormat="1" applyFill="1" applyBorder="1"/>
    <xf numFmtId="0" fontId="0" fillId="46" borderId="33" xfId="0" applyFill="1" applyBorder="1" applyAlignment="1">
      <alignment horizontal="center"/>
    </xf>
    <xf numFmtId="14" fontId="0" fillId="33" borderId="0" xfId="0" quotePrefix="1" applyNumberFormat="1" applyFill="1" applyAlignment="1">
      <alignment horizontal="left"/>
    </xf>
    <xf numFmtId="165" fontId="0" fillId="46" borderId="24" xfId="0" applyNumberFormat="1" applyFill="1" applyBorder="1"/>
    <xf numFmtId="165" fontId="0" fillId="46" borderId="23" xfId="0" applyNumberFormat="1" applyFill="1" applyBorder="1"/>
    <xf numFmtId="0" fontId="0" fillId="46" borderId="23" xfId="0" applyFill="1" applyBorder="1"/>
    <xf numFmtId="0" fontId="0" fillId="46" borderId="32" xfId="0" applyFill="1" applyBorder="1"/>
    <xf numFmtId="0" fontId="0" fillId="34" borderId="46" xfId="0" applyFill="1" applyBorder="1"/>
    <xf numFmtId="0" fontId="30" fillId="33" borderId="33" xfId="0" applyFont="1" applyFill="1" applyBorder="1" applyAlignment="1">
      <alignment horizontal="centerContinuous"/>
    </xf>
    <xf numFmtId="0" fontId="31" fillId="33" borderId="33" xfId="0" applyFont="1" applyFill="1" applyBorder="1" applyAlignment="1">
      <alignment horizontal="centerContinuous"/>
    </xf>
    <xf numFmtId="0" fontId="0" fillId="34" borderId="25" xfId="0" applyFill="1" applyBorder="1"/>
    <xf numFmtId="0" fontId="0" fillId="33" borderId="0" xfId="0" applyFill="1" applyAlignment="1">
      <alignment horizontal="right"/>
    </xf>
    <xf numFmtId="165" fontId="0" fillId="46" borderId="46" xfId="0" applyNumberFormat="1" applyFill="1" applyBorder="1"/>
    <xf numFmtId="165" fontId="0" fillId="46" borderId="31" xfId="0" applyNumberFormat="1" applyFill="1" applyBorder="1"/>
    <xf numFmtId="0" fontId="0" fillId="46" borderId="31" xfId="0" applyFill="1" applyBorder="1"/>
    <xf numFmtId="0" fontId="0" fillId="46" borderId="29" xfId="0" applyFill="1" applyBorder="1"/>
    <xf numFmtId="0" fontId="0" fillId="33" borderId="23" xfId="0" applyFill="1" applyBorder="1"/>
    <xf numFmtId="4" fontId="0" fillId="33" borderId="23" xfId="0" applyNumberFormat="1" applyFill="1" applyBorder="1"/>
    <xf numFmtId="0" fontId="0" fillId="34" borderId="23" xfId="0" applyFill="1" applyBorder="1"/>
    <xf numFmtId="0" fontId="0" fillId="33" borderId="32" xfId="0" applyFill="1" applyBorder="1" applyAlignment="1">
      <alignment horizontal="right"/>
    </xf>
    <xf numFmtId="4" fontId="0" fillId="33" borderId="0" xfId="0" applyNumberFormat="1" applyFill="1"/>
    <xf numFmtId="1" fontId="0" fillId="33" borderId="20" xfId="0" applyNumberFormat="1" applyFill="1" applyBorder="1"/>
    <xf numFmtId="0" fontId="0" fillId="47" borderId="23" xfId="0" applyFill="1" applyBorder="1"/>
    <xf numFmtId="164" fontId="0" fillId="0" borderId="23" xfId="0" applyNumberFormat="1" applyBorder="1"/>
    <xf numFmtId="0" fontId="0" fillId="0" borderId="23" xfId="0" applyBorder="1"/>
    <xf numFmtId="4" fontId="0" fillId="33" borderId="31" xfId="0" applyNumberFormat="1" applyFill="1" applyBorder="1"/>
    <xf numFmtId="0" fontId="0" fillId="34" borderId="31" xfId="0" applyFill="1" applyBorder="1"/>
    <xf numFmtId="1" fontId="0" fillId="33" borderId="27" xfId="0" applyNumberFormat="1" applyFill="1" applyBorder="1"/>
    <xf numFmtId="0" fontId="0" fillId="34" borderId="33" xfId="0" applyFill="1" applyBorder="1"/>
    <xf numFmtId="0" fontId="0" fillId="46" borderId="26" xfId="0" applyFill="1" applyBorder="1" applyAlignment="1">
      <alignment horizontal="center"/>
    </xf>
    <xf numFmtId="0" fontId="28" fillId="46" borderId="47" xfId="0" applyFont="1" applyFill="1" applyBorder="1" applyAlignment="1">
      <alignment horizontal="center"/>
    </xf>
    <xf numFmtId="0" fontId="0" fillId="47" borderId="0" xfId="0" applyFill="1"/>
    <xf numFmtId="164" fontId="0" fillId="0" borderId="0" xfId="0" applyNumberFormat="1"/>
    <xf numFmtId="0" fontId="0" fillId="34" borderId="26" xfId="0" applyFill="1" applyBorder="1"/>
    <xf numFmtId="0" fontId="0" fillId="46" borderId="25" xfId="0" applyFill="1" applyBorder="1" applyAlignment="1">
      <alignment horizontal="right"/>
    </xf>
    <xf numFmtId="0" fontId="0" fillId="34" borderId="21" xfId="0" applyFill="1" applyBorder="1"/>
    <xf numFmtId="0" fontId="0" fillId="34" borderId="28" xfId="0" applyFill="1" applyBorder="1"/>
    <xf numFmtId="164" fontId="0" fillId="34" borderId="28" xfId="0" applyNumberFormat="1" applyFill="1" applyBorder="1" applyAlignment="1">
      <alignment horizontal="right"/>
    </xf>
    <xf numFmtId="164" fontId="0" fillId="34" borderId="10" xfId="0" applyNumberFormat="1" applyFill="1" applyBorder="1" applyAlignment="1">
      <alignment horizontal="right"/>
    </xf>
    <xf numFmtId="0" fontId="0" fillId="34" borderId="10" xfId="0" applyFill="1" applyBorder="1" applyAlignment="1">
      <alignment horizontal="right"/>
    </xf>
    <xf numFmtId="0" fontId="0" fillId="34" borderId="28" xfId="0" applyFill="1" applyBorder="1" applyProtection="1">
      <protection locked="0"/>
    </xf>
    <xf numFmtId="164" fontId="0" fillId="33" borderId="10" xfId="0" applyNumberFormat="1" applyFill="1" applyBorder="1" applyProtection="1">
      <protection locked="0"/>
    </xf>
    <xf numFmtId="0" fontId="0" fillId="33" borderId="10" xfId="0" applyFill="1" applyBorder="1" applyProtection="1">
      <protection locked="0"/>
    </xf>
    <xf numFmtId="164" fontId="0" fillId="34" borderId="10" xfId="0" applyNumberFormat="1" applyFill="1" applyBorder="1"/>
    <xf numFmtId="0" fontId="0" fillId="48" borderId="45" xfId="0" applyFill="1" applyBorder="1"/>
    <xf numFmtId="0" fontId="30" fillId="33" borderId="23" xfId="0" applyFont="1" applyFill="1" applyBorder="1" applyAlignment="1">
      <alignment horizontal="centerContinuous"/>
    </xf>
    <xf numFmtId="0" fontId="31" fillId="33" borderId="23" xfId="0" applyFont="1" applyFill="1" applyBorder="1" applyAlignment="1">
      <alignment horizontal="centerContinuous"/>
    </xf>
    <xf numFmtId="165" fontId="0" fillId="48" borderId="48" xfId="0" applyNumberFormat="1" applyFill="1" applyBorder="1"/>
    <xf numFmtId="2" fontId="0" fillId="34" borderId="0" xfId="0" applyNumberFormat="1" applyFill="1"/>
    <xf numFmtId="2" fontId="0" fillId="48" borderId="28" xfId="0" applyNumberFormat="1" applyFill="1" applyBorder="1"/>
    <xf numFmtId="2" fontId="0" fillId="48" borderId="24" xfId="0" applyNumberFormat="1" applyFill="1" applyBorder="1"/>
    <xf numFmtId="165" fontId="0" fillId="33" borderId="21" xfId="0" applyNumberFormat="1" applyFill="1" applyBorder="1" applyProtection="1">
      <protection locked="0"/>
    </xf>
    <xf numFmtId="0" fontId="0" fillId="34" borderId="23" xfId="0" applyFill="1" applyBorder="1" applyProtection="1">
      <protection locked="0"/>
    </xf>
    <xf numFmtId="0" fontId="0" fillId="49" borderId="10" xfId="0" applyFill="1" applyBorder="1" applyAlignment="1">
      <alignment horizontal="right"/>
    </xf>
    <xf numFmtId="2" fontId="0" fillId="33" borderId="10" xfId="0" applyNumberFormat="1" applyFill="1" applyBorder="1" applyProtection="1">
      <protection locked="0"/>
    </xf>
    <xf numFmtId="0" fontId="0" fillId="49" borderId="26" xfId="0" applyFill="1" applyBorder="1" applyAlignment="1">
      <alignment horizontal="right"/>
    </xf>
    <xf numFmtId="0" fontId="0" fillId="50" borderId="49" xfId="0" applyFill="1" applyBorder="1"/>
    <xf numFmtId="165" fontId="0" fillId="49" borderId="44" xfId="0" applyNumberFormat="1" applyFill="1" applyBorder="1"/>
    <xf numFmtId="2" fontId="0" fillId="49" borderId="0" xfId="0" applyNumberFormat="1" applyFill="1"/>
    <xf numFmtId="0" fontId="0" fillId="50" borderId="45" xfId="0" applyFill="1" applyBorder="1"/>
    <xf numFmtId="1" fontId="0" fillId="33" borderId="28" xfId="0" applyNumberFormat="1" applyFill="1" applyBorder="1"/>
    <xf numFmtId="2" fontId="0" fillId="50" borderId="18" xfId="0" applyNumberFormat="1" applyFill="1" applyBorder="1"/>
    <xf numFmtId="2" fontId="0" fillId="50" borderId="0" xfId="0" applyNumberFormat="1" applyFill="1"/>
    <xf numFmtId="2" fontId="0" fillId="33" borderId="33" xfId="0" applyNumberFormat="1" applyFill="1" applyBorder="1"/>
    <xf numFmtId="2" fontId="0" fillId="0" borderId="33" xfId="0" applyNumberFormat="1" applyBorder="1"/>
    <xf numFmtId="0" fontId="0" fillId="33" borderId="33" xfId="0" applyFill="1" applyBorder="1" applyAlignment="1">
      <alignment horizontal="center"/>
    </xf>
    <xf numFmtId="2" fontId="0" fillId="34" borderId="48" xfId="0" applyNumberFormat="1" applyFill="1" applyBorder="1"/>
    <xf numFmtId="3" fontId="0" fillId="50" borderId="23" xfId="0" applyNumberFormat="1" applyFill="1" applyBorder="1"/>
    <xf numFmtId="4" fontId="0" fillId="34" borderId="23" xfId="0" applyNumberFormat="1" applyFill="1" applyBorder="1"/>
    <xf numFmtId="2" fontId="0" fillId="34" borderId="23" xfId="0" applyNumberFormat="1" applyFill="1" applyBorder="1"/>
    <xf numFmtId="2" fontId="0" fillId="0" borderId="23" xfId="0" applyNumberFormat="1" applyBorder="1"/>
    <xf numFmtId="2" fontId="0" fillId="34" borderId="44" xfId="0" applyNumberFormat="1" applyFill="1" applyBorder="1"/>
    <xf numFmtId="4" fontId="0" fillId="50" borderId="0" xfId="0" applyNumberFormat="1" applyFill="1"/>
    <xf numFmtId="2" fontId="0" fillId="34" borderId="22" xfId="0" applyNumberFormat="1" applyFill="1" applyBorder="1"/>
    <xf numFmtId="2" fontId="0" fillId="33" borderId="31" xfId="0" applyNumberFormat="1" applyFill="1" applyBorder="1"/>
    <xf numFmtId="0" fontId="0" fillId="46" borderId="29" xfId="0" applyFill="1" applyBorder="1" applyAlignment="1">
      <alignment horizontal="right"/>
    </xf>
    <xf numFmtId="0" fontId="30" fillId="33" borderId="0" xfId="0" applyFont="1" applyFill="1" applyAlignment="1">
      <alignment horizontal="centerContinuous"/>
    </xf>
    <xf numFmtId="0" fontId="31" fillId="33" borderId="0" xfId="0" applyFont="1" applyFill="1" applyAlignment="1">
      <alignment horizontal="centerContinuous"/>
    </xf>
    <xf numFmtId="0" fontId="0" fillId="41" borderId="23" xfId="0" applyFill="1" applyBorder="1" applyAlignment="1">
      <alignment horizontal="center"/>
    </xf>
    <xf numFmtId="0" fontId="0" fillId="45" borderId="0" xfId="0" applyFill="1"/>
    <xf numFmtId="0" fontId="28" fillId="45" borderId="0" xfId="0" applyFont="1" applyFill="1"/>
    <xf numFmtId="0" fontId="0" fillId="41" borderId="0" xfId="0" applyFill="1" applyAlignment="1">
      <alignment horizontal="center"/>
    </xf>
    <xf numFmtId="164" fontId="0" fillId="47" borderId="0" xfId="0" applyNumberFormat="1" applyFill="1"/>
    <xf numFmtId="3" fontId="0" fillId="51" borderId="44" xfId="0" applyNumberFormat="1" applyFill="1" applyBorder="1" applyAlignment="1">
      <alignment horizontal="right"/>
    </xf>
    <xf numFmtId="3" fontId="0" fillId="51" borderId="0" xfId="0" applyNumberFormat="1" applyFill="1" applyAlignment="1">
      <alignment horizontal="right"/>
    </xf>
    <xf numFmtId="0" fontId="0" fillId="51" borderId="45" xfId="0" applyFill="1" applyBorder="1"/>
    <xf numFmtId="3" fontId="0" fillId="34" borderId="0" xfId="0" applyNumberFormat="1" applyFill="1"/>
    <xf numFmtId="3" fontId="0" fillId="51" borderId="0" xfId="0" applyNumberFormat="1" applyFill="1"/>
    <xf numFmtId="0" fontId="0" fillId="34" borderId="29" xfId="0" applyFill="1" applyBorder="1"/>
    <xf numFmtId="3" fontId="0" fillId="51" borderId="44" xfId="0" applyNumberFormat="1" applyFill="1" applyBorder="1"/>
    <xf numFmtId="2" fontId="0" fillId="43" borderId="16" xfId="0" applyNumberFormat="1" applyFill="1" applyBorder="1"/>
    <xf numFmtId="0" fontId="0" fillId="34" borderId="19" xfId="0" applyFill="1" applyBorder="1"/>
    <xf numFmtId="0" fontId="0" fillId="43" borderId="16" xfId="0" applyFill="1" applyBorder="1"/>
    <xf numFmtId="0" fontId="0" fillId="34" borderId="27" xfId="0" applyFill="1" applyBorder="1"/>
    <xf numFmtId="2" fontId="0" fillId="43" borderId="43" xfId="0" applyNumberFormat="1" applyFill="1" applyBorder="1"/>
    <xf numFmtId="0" fontId="0" fillId="43" borderId="43" xfId="0" applyFill="1" applyBorder="1"/>
    <xf numFmtId="164" fontId="0" fillId="43" borderId="16" xfId="0" applyNumberFormat="1" applyFill="1" applyBorder="1" applyAlignment="1">
      <alignment horizontal="right"/>
    </xf>
    <xf numFmtId="0" fontId="0" fillId="43" borderId="13" xfId="0" applyFill="1" applyBorder="1"/>
    <xf numFmtId="3" fontId="0" fillId="44" borderId="21" xfId="0" applyNumberFormat="1" applyFill="1" applyBorder="1" applyProtection="1">
      <protection locked="0"/>
    </xf>
    <xf numFmtId="0" fontId="0" fillId="46" borderId="45" xfId="0" applyFill="1" applyBorder="1"/>
    <xf numFmtId="164" fontId="0" fillId="33" borderId="0" xfId="0" applyNumberFormat="1" applyFill="1"/>
    <xf numFmtId="1" fontId="0" fillId="33" borderId="0" xfId="0" applyNumberFormat="1" applyFill="1"/>
    <xf numFmtId="164" fontId="0" fillId="33" borderId="30" xfId="0" applyNumberFormat="1" applyFill="1" applyBorder="1"/>
    <xf numFmtId="0" fontId="0" fillId="33" borderId="17" xfId="0" applyFill="1" applyBorder="1"/>
    <xf numFmtId="9" fontId="0" fillId="33" borderId="21" xfId="0" applyNumberFormat="1" applyFill="1" applyBorder="1" applyProtection="1">
      <protection locked="0"/>
    </xf>
    <xf numFmtId="3" fontId="32" fillId="34" borderId="0" xfId="0" applyNumberFormat="1" applyFont="1" applyFill="1" applyProtection="1">
      <protection locked="0"/>
    </xf>
    <xf numFmtId="9" fontId="0" fillId="34" borderId="10" xfId="0" applyNumberFormat="1" applyFill="1" applyBorder="1" applyProtection="1">
      <protection locked="0"/>
    </xf>
    <xf numFmtId="3" fontId="0" fillId="33" borderId="0" xfId="0" applyNumberFormat="1" applyFill="1" applyProtection="1">
      <protection locked="0"/>
    </xf>
    <xf numFmtId="9" fontId="0" fillId="33" borderId="10" xfId="0" applyNumberFormat="1" applyFill="1" applyBorder="1" applyProtection="1">
      <protection locked="0"/>
    </xf>
    <xf numFmtId="9" fontId="0" fillId="33" borderId="26" xfId="0" applyNumberFormat="1" applyFill="1" applyBorder="1" applyProtection="1">
      <protection locked="0"/>
    </xf>
    <xf numFmtId="3" fontId="0" fillId="33" borderId="21" xfId="0" applyNumberFormat="1" applyFill="1" applyBorder="1" applyProtection="1">
      <protection locked="0"/>
    </xf>
    <xf numFmtId="3" fontId="0" fillId="33" borderId="10" xfId="0" applyNumberFormat="1" applyFill="1" applyBorder="1" applyProtection="1">
      <protection locked="0"/>
    </xf>
    <xf numFmtId="3" fontId="0" fillId="33" borderId="26" xfId="0" applyNumberFormat="1" applyFill="1" applyBorder="1" applyProtection="1">
      <protection locked="0"/>
    </xf>
    <xf numFmtId="2" fontId="0" fillId="47" borderId="23" xfId="0" applyNumberFormat="1" applyFill="1" applyBorder="1"/>
    <xf numFmtId="3" fontId="0" fillId="36" borderId="21" xfId="0" applyNumberFormat="1" applyFill="1" applyBorder="1" applyProtection="1">
      <protection locked="0"/>
    </xf>
    <xf numFmtId="0" fontId="0" fillId="34" borderId="0" xfId="0" applyFill="1" applyAlignment="1">
      <alignment horizontal="right"/>
    </xf>
    <xf numFmtId="164" fontId="0" fillId="36" borderId="33" xfId="0" applyNumberFormat="1" applyFill="1" applyBorder="1"/>
    <xf numFmtId="164" fontId="0" fillId="36" borderId="10" xfId="0" applyNumberFormat="1" applyFill="1" applyBorder="1"/>
    <xf numFmtId="164" fontId="0" fillId="36" borderId="26" xfId="0" applyNumberFormat="1" applyFill="1" applyBorder="1"/>
    <xf numFmtId="2" fontId="0" fillId="47" borderId="0" xfId="0" applyNumberFormat="1" applyFill="1"/>
    <xf numFmtId="4" fontId="0" fillId="33" borderId="16" xfId="0" applyNumberFormat="1" applyFill="1" applyBorder="1"/>
    <xf numFmtId="3" fontId="0" fillId="41" borderId="43" xfId="0" applyNumberFormat="1" applyFill="1" applyBorder="1"/>
    <xf numFmtId="4" fontId="0" fillId="41" borderId="16" xfId="0" applyNumberFormat="1" applyFill="1" applyBorder="1"/>
    <xf numFmtId="164" fontId="0" fillId="33" borderId="16" xfId="0" applyNumberFormat="1" applyFill="1" applyBorder="1"/>
    <xf numFmtId="164" fontId="0" fillId="33" borderId="43" xfId="0" applyNumberFormat="1" applyFill="1" applyBorder="1"/>
    <xf numFmtId="1" fontId="0" fillId="33" borderId="16" xfId="0" applyNumberFormat="1" applyFill="1" applyBorder="1"/>
    <xf numFmtId="0" fontId="0" fillId="33" borderId="13" xfId="0" applyFill="1" applyBorder="1"/>
    <xf numFmtId="2" fontId="0" fillId="36" borderId="10" xfId="0" applyNumberFormat="1" applyFill="1" applyBorder="1"/>
    <xf numFmtId="3" fontId="0" fillId="41" borderId="30" xfId="0" applyNumberFormat="1" applyFill="1" applyBorder="1"/>
    <xf numFmtId="4" fontId="0" fillId="41" borderId="0" xfId="0" applyNumberFormat="1" applyFill="1"/>
    <xf numFmtId="164" fontId="0" fillId="34" borderId="0" xfId="0" applyNumberFormat="1" applyFill="1" applyAlignment="1">
      <alignment horizontal="right"/>
    </xf>
    <xf numFmtId="164" fontId="0" fillId="34" borderId="0" xfId="0" applyNumberFormat="1" applyFill="1"/>
    <xf numFmtId="2" fontId="0" fillId="41" borderId="0" xfId="0" applyNumberFormat="1" applyFill="1"/>
    <xf numFmtId="164" fontId="0" fillId="33" borderId="10" xfId="0" applyNumberFormat="1" applyFill="1" applyBorder="1"/>
    <xf numFmtId="165" fontId="0" fillId="44" borderId="38" xfId="0" applyNumberFormat="1" applyFill="1" applyBorder="1"/>
    <xf numFmtId="2" fontId="0" fillId="44" borderId="26" xfId="0" applyNumberFormat="1" applyFill="1" applyBorder="1"/>
    <xf numFmtId="0" fontId="0" fillId="0" borderId="33" xfId="0" applyBorder="1" applyAlignment="1">
      <alignment horizontal="center"/>
    </xf>
    <xf numFmtId="0" fontId="0" fillId="47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46" borderId="26" xfId="0" applyFill="1" applyBorder="1" applyAlignment="1">
      <alignment horizontal="right"/>
    </xf>
    <xf numFmtId="0" fontId="28" fillId="46" borderId="51" xfId="0" applyFont="1" applyFill="1" applyBorder="1" applyAlignment="1">
      <alignment horizontal="right"/>
    </xf>
    <xf numFmtId="2" fontId="0" fillId="44" borderId="0" xfId="0" applyNumberFormat="1" applyFill="1"/>
    <xf numFmtId="0" fontId="0" fillId="46" borderId="21" xfId="0" applyFill="1" applyBorder="1" applyAlignment="1">
      <alignment horizontal="center"/>
    </xf>
    <xf numFmtId="0" fontId="0" fillId="46" borderId="10" xfId="0" applyFill="1" applyBorder="1" applyAlignment="1">
      <alignment horizontal="center"/>
    </xf>
    <xf numFmtId="0" fontId="0" fillId="46" borderId="24" xfId="0" applyFill="1" applyBorder="1" applyAlignment="1">
      <alignment horizontal="center"/>
    </xf>
    <xf numFmtId="0" fontId="0" fillId="46" borderId="23" xfId="0" applyFill="1" applyBorder="1" applyAlignment="1">
      <alignment horizontal="center"/>
    </xf>
    <xf numFmtId="0" fontId="0" fillId="34" borderId="42" xfId="0" applyFill="1" applyBorder="1"/>
    <xf numFmtId="0" fontId="0" fillId="34" borderId="15" xfId="0" applyFill="1" applyBorder="1"/>
    <xf numFmtId="0" fontId="31" fillId="33" borderId="15" xfId="0" applyFont="1" applyFill="1" applyBorder="1" applyAlignment="1">
      <alignment horizontal="centerContinuous"/>
    </xf>
    <xf numFmtId="0" fontId="0" fillId="0" borderId="11" xfId="0" applyBorder="1"/>
    <xf numFmtId="0" fontId="31" fillId="33" borderId="12" xfId="0" applyFont="1" applyFill="1" applyBorder="1" applyAlignment="1">
      <alignment horizontal="center" wrapText="1"/>
    </xf>
    <xf numFmtId="0" fontId="30" fillId="33" borderId="15" xfId="0" applyFont="1" applyFill="1" applyBorder="1" applyAlignment="1">
      <alignment horizontal="centerContinuous"/>
    </xf>
    <xf numFmtId="0" fontId="30" fillId="33" borderId="35" xfId="0" applyFont="1" applyFill="1" applyBorder="1" applyAlignment="1">
      <alignment horizontal="centerContinuous"/>
    </xf>
    <xf numFmtId="0" fontId="30" fillId="33" borderId="52" xfId="0" applyFont="1" applyFill="1" applyBorder="1" applyAlignment="1">
      <alignment horizontal="centerContinuous"/>
    </xf>
    <xf numFmtId="0" fontId="31" fillId="33" borderId="52" xfId="0" applyFont="1" applyFill="1" applyBorder="1" applyAlignment="1">
      <alignment horizontal="centerContinuous"/>
    </xf>
    <xf numFmtId="0" fontId="31" fillId="33" borderId="35" xfId="0" applyFont="1" applyFill="1" applyBorder="1" applyAlignment="1">
      <alignment horizontal="centerContinuous"/>
    </xf>
    <xf numFmtId="0" fontId="0" fillId="0" borderId="53" xfId="0" applyBorder="1"/>
    <xf numFmtId="0" fontId="0" fillId="46" borderId="20" xfId="0" applyFill="1" applyBorder="1"/>
    <xf numFmtId="0" fontId="0" fillId="46" borderId="28" xfId="0" applyFill="1" applyBorder="1"/>
    <xf numFmtId="0" fontId="9" fillId="46" borderId="31" xfId="0" applyFont="1" applyFill="1" applyBorder="1" applyAlignment="1">
      <alignment horizontal="centerContinuous"/>
    </xf>
    <xf numFmtId="0" fontId="0" fillId="46" borderId="31" xfId="0" applyFill="1" applyBorder="1" applyAlignment="1">
      <alignment horizontal="centerContinuous"/>
    </xf>
    <xf numFmtId="0" fontId="0" fillId="46" borderId="46" xfId="0" applyFill="1" applyBorder="1" applyAlignment="1">
      <alignment horizontal="centerContinuous"/>
    </xf>
    <xf numFmtId="0" fontId="6" fillId="46" borderId="10" xfId="0" applyFont="1" applyFill="1" applyBorder="1" applyAlignment="1">
      <alignment horizontal="right"/>
    </xf>
    <xf numFmtId="0" fontId="0" fillId="36" borderId="17" xfId="0" applyFill="1" applyBorder="1"/>
    <xf numFmtId="0" fontId="0" fillId="36" borderId="0" xfId="0" applyFill="1"/>
    <xf numFmtId="0" fontId="0" fillId="36" borderId="34" xfId="0" applyFill="1" applyBorder="1"/>
    <xf numFmtId="164" fontId="0" fillId="36" borderId="0" xfId="0" applyNumberFormat="1" applyFill="1" applyAlignment="1">
      <alignment horizontal="right"/>
    </xf>
    <xf numFmtId="1" fontId="0" fillId="36" borderId="30" xfId="0" applyNumberFormat="1" applyFill="1" applyBorder="1"/>
    <xf numFmtId="164" fontId="0" fillId="36" borderId="0" xfId="0" applyNumberFormat="1" applyFill="1"/>
    <xf numFmtId="1" fontId="0" fillId="36" borderId="0" xfId="0" applyNumberFormat="1" applyFill="1"/>
    <xf numFmtId="164" fontId="0" fillId="36" borderId="30" xfId="0" applyNumberFormat="1" applyFill="1" applyBorder="1"/>
    <xf numFmtId="2" fontId="0" fillId="36" borderId="0" xfId="0" applyNumberFormat="1" applyFill="1"/>
    <xf numFmtId="3" fontId="0" fillId="36" borderId="0" xfId="0" applyNumberFormat="1" applyFill="1"/>
    <xf numFmtId="0" fontId="0" fillId="33" borderId="0" xfId="0" applyFill="1" applyAlignment="1">
      <alignment horizontal="center"/>
    </xf>
    <xf numFmtId="0" fontId="0" fillId="33" borderId="0" xfId="0" applyFill="1" applyAlignment="1" applyProtection="1">
      <alignment horizontal="center"/>
      <protection locked="0"/>
    </xf>
    <xf numFmtId="0" fontId="0" fillId="33" borderId="0" xfId="0" applyFill="1" applyProtection="1">
      <protection locked="0"/>
    </xf>
    <xf numFmtId="3" fontId="0" fillId="33" borderId="0" xfId="0" applyNumberFormat="1" applyFill="1"/>
    <xf numFmtId="3" fontId="28" fillId="33" borderId="0" xfId="0" applyNumberFormat="1" applyFont="1" applyFill="1"/>
    <xf numFmtId="3" fontId="28" fillId="33" borderId="0" xfId="0" applyNumberFormat="1" applyFont="1" applyFill="1" applyProtection="1">
      <protection locked="0"/>
    </xf>
    <xf numFmtId="0" fontId="28" fillId="33" borderId="0" xfId="0" applyFont="1" applyFill="1"/>
    <xf numFmtId="4" fontId="0" fillId="33" borderId="0" xfId="0" applyNumberFormat="1" applyFill="1" applyProtection="1">
      <protection locked="0"/>
    </xf>
    <xf numFmtId="4" fontId="28" fillId="33" borderId="0" xfId="0" applyNumberFormat="1" applyFont="1" applyFill="1"/>
    <xf numFmtId="0" fontId="28" fillId="33" borderId="0" xfId="0" applyFont="1" applyFill="1" applyAlignment="1">
      <alignment horizontal="center"/>
    </xf>
    <xf numFmtId="0" fontId="0" fillId="48" borderId="49" xfId="0" applyFill="1" applyBorder="1"/>
    <xf numFmtId="3" fontId="0" fillId="34" borderId="0" xfId="0" applyNumberFormat="1" applyFill="1" applyProtection="1">
      <protection locked="0"/>
    </xf>
    <xf numFmtId="3" fontId="0" fillId="34" borderId="26" xfId="0" applyNumberFormat="1" applyFill="1" applyBorder="1" applyProtection="1">
      <protection locked="0"/>
    </xf>
    <xf numFmtId="3" fontId="0" fillId="34" borderId="10" xfId="0" applyNumberFormat="1" applyFill="1" applyBorder="1" applyProtection="1">
      <protection locked="0"/>
    </xf>
    <xf numFmtId="3" fontId="0" fillId="34" borderId="33" xfId="0" applyNumberFormat="1" applyFill="1" applyBorder="1" applyProtection="1">
      <protection locked="0"/>
    </xf>
    <xf numFmtId="3" fontId="0" fillId="34" borderId="26" xfId="0" applyNumberFormat="1" applyFill="1" applyBorder="1"/>
    <xf numFmtId="3" fontId="0" fillId="34" borderId="10" xfId="0" applyNumberFormat="1" applyFill="1" applyBorder="1"/>
    <xf numFmtId="3" fontId="0" fillId="34" borderId="33" xfId="0" applyNumberFormat="1" applyFill="1" applyBorder="1"/>
    <xf numFmtId="0" fontId="0" fillId="46" borderId="25" xfId="0" applyFill="1" applyBorder="1" applyAlignment="1">
      <alignment horizontal="center"/>
    </xf>
    <xf numFmtId="164" fontId="0" fillId="34" borderId="32" xfId="0" applyNumberFormat="1" applyFill="1" applyBorder="1"/>
    <xf numFmtId="2" fontId="0" fillId="36" borderId="26" xfId="0" applyNumberFormat="1" applyFill="1" applyBorder="1"/>
    <xf numFmtId="0" fontId="0" fillId="34" borderId="26" xfId="0" applyFill="1" applyBorder="1" applyAlignment="1">
      <alignment horizontal="right"/>
    </xf>
    <xf numFmtId="0" fontId="0" fillId="33" borderId="26" xfId="0" applyFill="1" applyBorder="1" applyProtection="1">
      <protection locked="0"/>
    </xf>
    <xf numFmtId="0" fontId="28" fillId="34" borderId="27" xfId="0" applyFont="1" applyFill="1" applyBorder="1" applyAlignment="1">
      <alignment horizontal="centerContinuous"/>
    </xf>
    <xf numFmtId="0" fontId="0" fillId="34" borderId="28" xfId="0" applyFill="1" applyBorder="1" applyAlignment="1">
      <alignment horizontal="center"/>
    </xf>
    <xf numFmtId="2" fontId="0" fillId="34" borderId="10" xfId="0" applyNumberFormat="1" applyFill="1" applyBorder="1"/>
    <xf numFmtId="0" fontId="0" fillId="34" borderId="10" xfId="0" applyFill="1" applyBorder="1" applyProtection="1">
      <protection locked="0"/>
    </xf>
    <xf numFmtId="0" fontId="0" fillId="34" borderId="20" xfId="0" applyFill="1" applyBorder="1" applyProtection="1">
      <protection locked="0"/>
    </xf>
    <xf numFmtId="3" fontId="0" fillId="34" borderId="20" xfId="0" applyNumberFormat="1" applyFill="1" applyBorder="1" applyAlignment="1">
      <alignment horizontal="right"/>
    </xf>
    <xf numFmtId="2" fontId="0" fillId="34" borderId="10" xfId="0" applyNumberFormat="1" applyFill="1" applyBorder="1" applyProtection="1">
      <protection locked="0"/>
    </xf>
    <xf numFmtId="2" fontId="0" fillId="34" borderId="20" xfId="0" applyNumberFormat="1" applyFill="1" applyBorder="1" applyProtection="1">
      <protection locked="0"/>
    </xf>
    <xf numFmtId="164" fontId="0" fillId="33" borderId="26" xfId="0" applyNumberFormat="1" applyFill="1" applyBorder="1"/>
    <xf numFmtId="9" fontId="0" fillId="34" borderId="26" xfId="0" applyNumberFormat="1" applyFill="1" applyBorder="1" applyProtection="1">
      <protection locked="0"/>
    </xf>
    <xf numFmtId="9" fontId="0" fillId="34" borderId="0" xfId="0" applyNumberFormat="1" applyFill="1" applyProtection="1">
      <protection locked="0"/>
    </xf>
    <xf numFmtId="0" fontId="30" fillId="33" borderId="31" xfId="0" applyFont="1" applyFill="1" applyBorder="1" applyAlignment="1">
      <alignment horizontal="centerContinuous"/>
    </xf>
    <xf numFmtId="0" fontId="31" fillId="33" borderId="34" xfId="0" applyFont="1" applyFill="1" applyBorder="1" applyAlignment="1">
      <alignment horizontal="centerContinuous"/>
    </xf>
    <xf numFmtId="0" fontId="30" fillId="33" borderId="12" xfId="0" applyFont="1" applyFill="1" applyBorder="1" applyAlignment="1">
      <alignment horizontal="centerContinuous"/>
    </xf>
    <xf numFmtId="4" fontId="0" fillId="33" borderId="43" xfId="0" applyNumberFormat="1" applyFill="1" applyBorder="1"/>
    <xf numFmtId="2" fontId="0" fillId="33" borderId="16" xfId="0" applyNumberFormat="1" applyFill="1" applyBorder="1"/>
    <xf numFmtId="0" fontId="0" fillId="43" borderId="50" xfId="0" applyFill="1" applyBorder="1"/>
    <xf numFmtId="3" fontId="0" fillId="36" borderId="33" xfId="0" applyNumberFormat="1" applyFill="1" applyBorder="1" applyProtection="1">
      <protection locked="0"/>
    </xf>
    <xf numFmtId="0" fontId="0" fillId="34" borderId="24" xfId="0" applyFill="1" applyBorder="1" applyProtection="1">
      <protection locked="0"/>
    </xf>
    <xf numFmtId="165" fontId="0" fillId="46" borderId="46" xfId="0" applyNumberFormat="1" applyFill="1" applyBorder="1" applyAlignment="1">
      <alignment horizontal="centerContinuous"/>
    </xf>
    <xf numFmtId="165" fontId="0" fillId="33" borderId="10" xfId="0" applyNumberFormat="1" applyFill="1" applyBorder="1"/>
    <xf numFmtId="165" fontId="0" fillId="33" borderId="0" xfId="0" applyNumberFormat="1" applyFill="1"/>
    <xf numFmtId="165" fontId="0" fillId="33" borderId="50" xfId="0" applyNumberFormat="1" applyFill="1" applyBorder="1"/>
    <xf numFmtId="165" fontId="0" fillId="36" borderId="0" xfId="0" applyNumberFormat="1" applyFill="1"/>
    <xf numFmtId="165" fontId="0" fillId="36" borderId="10" xfId="0" applyNumberFormat="1" applyFill="1" applyBorder="1"/>
    <xf numFmtId="165" fontId="0" fillId="33" borderId="16" xfId="0" applyNumberFormat="1" applyFill="1" applyBorder="1"/>
    <xf numFmtId="165" fontId="0" fillId="36" borderId="26" xfId="0" applyNumberFormat="1" applyFill="1" applyBorder="1"/>
    <xf numFmtId="2" fontId="0" fillId="34" borderId="33" xfId="0" applyNumberFormat="1" applyFill="1" applyBorder="1"/>
    <xf numFmtId="0" fontId="0" fillId="34" borderId="23" xfId="0" applyFill="1" applyBorder="1" applyAlignment="1">
      <alignment horizontal="right"/>
    </xf>
    <xf numFmtId="0" fontId="0" fillId="34" borderId="32" xfId="0" applyFill="1" applyBorder="1" applyAlignment="1">
      <alignment horizontal="right"/>
    </xf>
    <xf numFmtId="3" fontId="0" fillId="34" borderId="23" xfId="0" applyNumberFormat="1" applyFill="1" applyBorder="1"/>
    <xf numFmtId="2" fontId="0" fillId="34" borderId="26" xfId="0" applyNumberFormat="1" applyFill="1" applyBorder="1"/>
    <xf numFmtId="3" fontId="0" fillId="34" borderId="0" xfId="0" applyNumberFormat="1" applyFill="1" applyAlignment="1">
      <alignment horizontal="right"/>
    </xf>
    <xf numFmtId="164" fontId="0" fillId="52" borderId="26" xfId="0" applyNumberFormat="1" applyFill="1" applyBorder="1" applyProtection="1">
      <protection locked="0"/>
    </xf>
    <xf numFmtId="164" fontId="0" fillId="52" borderId="10" xfId="0" applyNumberFormat="1" applyFill="1" applyBorder="1" applyProtection="1">
      <protection locked="0"/>
    </xf>
    <xf numFmtId="165" fontId="0" fillId="52" borderId="10" xfId="0" applyNumberFormat="1" applyFill="1" applyBorder="1" applyProtection="1">
      <protection locked="0"/>
    </xf>
    <xf numFmtId="2" fontId="0" fillId="52" borderId="26" xfId="0" applyNumberFormat="1" applyFill="1" applyBorder="1"/>
    <xf numFmtId="2" fontId="0" fillId="52" borderId="10" xfId="0" applyNumberFormat="1" applyFill="1" applyBorder="1"/>
    <xf numFmtId="2" fontId="0" fillId="52" borderId="26" xfId="0" applyNumberFormat="1" applyFill="1" applyBorder="1" applyProtection="1">
      <protection locked="0"/>
    </xf>
    <xf numFmtId="2" fontId="0" fillId="52" borderId="24" xfId="0" applyNumberFormat="1" applyFill="1" applyBorder="1" applyProtection="1">
      <protection locked="0"/>
    </xf>
    <xf numFmtId="0" fontId="9" fillId="46" borderId="33" xfId="0" applyFont="1" applyFill="1" applyBorder="1" applyAlignment="1">
      <alignment horizontal="center"/>
    </xf>
    <xf numFmtId="0" fontId="0" fillId="46" borderId="22" xfId="0" applyFill="1" applyBorder="1" applyAlignment="1">
      <alignment horizontal="center"/>
    </xf>
    <xf numFmtId="0" fontId="0" fillId="46" borderId="27" xfId="0" applyFill="1" applyBorder="1"/>
    <xf numFmtId="0" fontId="6" fillId="46" borderId="28" xfId="0" applyFont="1" applyFill="1" applyBorder="1" applyAlignment="1">
      <alignment horizontal="right"/>
    </xf>
    <xf numFmtId="0" fontId="9" fillId="46" borderId="26" xfId="0" applyFont="1" applyFill="1" applyBorder="1" applyAlignment="1">
      <alignment horizontal="center"/>
    </xf>
    <xf numFmtId="2" fontId="0" fillId="52" borderId="10" xfId="0" applyNumberFormat="1" applyFill="1" applyBorder="1" applyProtection="1">
      <protection locked="0"/>
    </xf>
    <xf numFmtId="3" fontId="9" fillId="35" borderId="0" xfId="0" applyNumberFormat="1" applyFont="1" applyFill="1"/>
    <xf numFmtId="3" fontId="9" fillId="35" borderId="0" xfId="0" applyNumberFormat="1" applyFont="1" applyFill="1" applyAlignment="1">
      <alignment vertical="center"/>
    </xf>
    <xf numFmtId="2" fontId="0" fillId="33" borderId="10" xfId="0" applyNumberFormat="1" applyFill="1" applyBorder="1" applyAlignment="1">
      <alignment horizontal="centerContinuous"/>
    </xf>
    <xf numFmtId="2" fontId="5" fillId="35" borderId="0" xfId="2" applyNumberFormat="1" applyFont="1" applyFill="1"/>
    <xf numFmtId="0" fontId="9" fillId="35" borderId="23" xfId="0" applyFont="1" applyFill="1" applyBorder="1" applyAlignment="1">
      <alignment horizontal="center"/>
    </xf>
    <xf numFmtId="0" fontId="0" fillId="35" borderId="18" xfId="0" applyFill="1" applyBorder="1"/>
    <xf numFmtId="0" fontId="5" fillId="41" borderId="17" xfId="3" applyFont="1" applyFill="1" applyBorder="1"/>
    <xf numFmtId="2" fontId="5" fillId="41" borderId="17" xfId="2" applyNumberFormat="1" applyFont="1" applyFill="1" applyBorder="1"/>
    <xf numFmtId="0" fontId="5" fillId="41" borderId="17" xfId="2" applyFont="1" applyFill="1" applyBorder="1"/>
    <xf numFmtId="0" fontId="5" fillId="41" borderId="13" xfId="2" applyFont="1" applyFill="1" applyBorder="1"/>
    <xf numFmtId="3" fontId="0" fillId="43" borderId="0" xfId="0" applyNumberFormat="1" applyFill="1"/>
    <xf numFmtId="3" fontId="0" fillId="38" borderId="0" xfId="0" applyNumberFormat="1" applyFill="1"/>
    <xf numFmtId="3" fontId="6" fillId="35" borderId="0" xfId="0" applyNumberFormat="1" applyFont="1" applyFill="1" applyAlignment="1">
      <alignment vertical="center"/>
    </xf>
    <xf numFmtId="0" fontId="6" fillId="41" borderId="17" xfId="3" applyFont="1" applyFill="1" applyBorder="1"/>
    <xf numFmtId="3" fontId="6" fillId="41" borderId="0" xfId="0" applyNumberFormat="1" applyFont="1" applyFill="1"/>
    <xf numFmtId="3" fontId="6" fillId="34" borderId="20" xfId="0" applyNumberFormat="1" applyFont="1" applyFill="1" applyBorder="1"/>
    <xf numFmtId="2" fontId="6" fillId="41" borderId="17" xfId="2" applyNumberFormat="1" applyFont="1" applyFill="1" applyBorder="1"/>
    <xf numFmtId="3" fontId="5" fillId="41" borderId="0" xfId="0" applyNumberFormat="1" applyFont="1" applyFill="1"/>
    <xf numFmtId="9" fontId="23" fillId="33" borderId="10" xfId="0" applyNumberFormat="1" applyFont="1" applyFill="1" applyBorder="1"/>
    <xf numFmtId="9" fontId="23" fillId="33" borderId="21" xfId="0" applyNumberFormat="1" applyFont="1" applyFill="1" applyBorder="1"/>
    <xf numFmtId="0" fontId="6" fillId="33" borderId="0" xfId="0" applyFont="1" applyFill="1"/>
    <xf numFmtId="166" fontId="0" fillId="33" borderId="10" xfId="0" applyNumberFormat="1" applyFill="1" applyBorder="1"/>
    <xf numFmtId="0" fontId="9" fillId="33" borderId="0" xfId="0" applyFont="1" applyFill="1"/>
    <xf numFmtId="3" fontId="0" fillId="53" borderId="22" xfId="0" applyNumberFormat="1" applyFill="1" applyBorder="1"/>
    <xf numFmtId="3" fontId="0" fillId="53" borderId="46" xfId="0" applyNumberFormat="1" applyFill="1" applyBorder="1"/>
    <xf numFmtId="0" fontId="0" fillId="35" borderId="0" xfId="0" applyFill="1" applyAlignment="1">
      <alignment horizontal="right"/>
    </xf>
    <xf numFmtId="0" fontId="0" fillId="35" borderId="0" xfId="0" applyFill="1" applyAlignment="1">
      <alignment horizontal="left"/>
    </xf>
    <xf numFmtId="3" fontId="0" fillId="34" borderId="54" xfId="0" applyNumberFormat="1" applyFill="1" applyBorder="1"/>
    <xf numFmtId="0" fontId="0" fillId="39" borderId="23" xfId="0" applyFill="1" applyBorder="1"/>
    <xf numFmtId="0" fontId="0" fillId="43" borderId="0" xfId="0" applyFill="1"/>
    <xf numFmtId="0" fontId="0" fillId="38" borderId="12" xfId="0" applyFill="1" applyBorder="1"/>
    <xf numFmtId="0" fontId="0" fillId="38" borderId="18" xfId="0" applyFill="1" applyBorder="1"/>
    <xf numFmtId="0" fontId="0" fillId="39" borderId="40" xfId="0" applyFill="1" applyBorder="1"/>
    <xf numFmtId="0" fontId="0" fillId="39" borderId="37" xfId="0" applyFill="1" applyBorder="1"/>
    <xf numFmtId="0" fontId="6" fillId="46" borderId="13" xfId="3" applyFont="1" applyFill="1" applyBorder="1"/>
    <xf numFmtId="3" fontId="0" fillId="46" borderId="16" xfId="0" applyNumberFormat="1" applyFill="1" applyBorder="1"/>
    <xf numFmtId="0" fontId="0" fillId="41" borderId="15" xfId="0" applyFill="1" applyBorder="1"/>
    <xf numFmtId="0" fontId="0" fillId="41" borderId="12" xfId="0" applyFill="1" applyBorder="1"/>
    <xf numFmtId="0" fontId="0" fillId="46" borderId="16" xfId="0" applyFill="1" applyBorder="1"/>
    <xf numFmtId="0" fontId="0" fillId="46" borderId="14" xfId="0" applyFill="1" applyBorder="1"/>
    <xf numFmtId="3" fontId="0" fillId="37" borderId="25" xfId="0" applyNumberFormat="1" applyFill="1" applyBorder="1"/>
    <xf numFmtId="0" fontId="0" fillId="41" borderId="30" xfId="0" applyFill="1" applyBorder="1"/>
    <xf numFmtId="0" fontId="0" fillId="41" borderId="32" xfId="0" applyFill="1" applyBorder="1"/>
    <xf numFmtId="0" fontId="0" fillId="41" borderId="34" xfId="0" applyFill="1" applyBorder="1"/>
    <xf numFmtId="3" fontId="0" fillId="33" borderId="25" xfId="0" applyNumberFormat="1" applyFill="1" applyBorder="1"/>
    <xf numFmtId="0" fontId="9" fillId="40" borderId="11" xfId="0" applyFont="1" applyFill="1" applyBorder="1" applyAlignment="1">
      <alignment horizontal="centerContinuous"/>
    </xf>
    <xf numFmtId="0" fontId="0" fillId="36" borderId="40" xfId="0" applyFill="1" applyBorder="1" applyAlignment="1">
      <alignment horizontal="centerContinuous"/>
    </xf>
    <xf numFmtId="0" fontId="0" fillId="36" borderId="51" xfId="0" applyFill="1" applyBorder="1" applyAlignment="1">
      <alignment horizontal="center"/>
    </xf>
    <xf numFmtId="3" fontId="0" fillId="36" borderId="51" xfId="0" applyNumberFormat="1" applyFill="1" applyBorder="1"/>
    <xf numFmtId="0" fontId="0" fillId="39" borderId="51" xfId="0" applyFill="1" applyBorder="1"/>
    <xf numFmtId="1" fontId="23" fillId="41" borderId="56" xfId="0" applyNumberFormat="1" applyFont="1" applyFill="1" applyBorder="1"/>
    <xf numFmtId="2" fontId="23" fillId="41" borderId="17" xfId="0" applyNumberFormat="1" applyFont="1" applyFill="1" applyBorder="1"/>
    <xf numFmtId="9" fontId="23" fillId="41" borderId="17" xfId="0" applyNumberFormat="1" applyFont="1" applyFill="1" applyBorder="1"/>
    <xf numFmtId="9" fontId="23" fillId="41" borderId="40" xfId="0" applyNumberFormat="1" applyFont="1" applyFill="1" applyBorder="1"/>
    <xf numFmtId="9" fontId="23" fillId="0" borderId="55" xfId="0" applyNumberFormat="1" applyFont="1" applyBorder="1"/>
    <xf numFmtId="9" fontId="23" fillId="33" borderId="55" xfId="0" applyNumberFormat="1" applyFont="1" applyFill="1" applyBorder="1"/>
    <xf numFmtId="2" fontId="23" fillId="41" borderId="40" xfId="0" applyNumberFormat="1" applyFont="1" applyFill="1" applyBorder="1"/>
    <xf numFmtId="2" fontId="23" fillId="35" borderId="17" xfId="0" applyNumberFormat="1" applyFont="1" applyFill="1" applyBorder="1"/>
    <xf numFmtId="3" fontId="0" fillId="35" borderId="17" xfId="0" applyNumberFormat="1" applyFill="1" applyBorder="1"/>
    <xf numFmtId="3" fontId="0" fillId="38" borderId="17" xfId="0" applyNumberFormat="1" applyFill="1" applyBorder="1"/>
    <xf numFmtId="3" fontId="0" fillId="46" borderId="13" xfId="0" applyNumberFormat="1" applyFill="1" applyBorder="1"/>
    <xf numFmtId="9" fontId="0" fillId="33" borderId="33" xfId="0" applyNumberFormat="1" applyFill="1" applyBorder="1"/>
    <xf numFmtId="0" fontId="35" fillId="33" borderId="0" xfId="45" applyFill="1"/>
    <xf numFmtId="0" fontId="34" fillId="33" borderId="61" xfId="0" applyFont="1" applyFill="1" applyBorder="1" applyAlignment="1">
      <alignment horizontal="center" vertical="center" wrapText="1"/>
    </xf>
    <xf numFmtId="0" fontId="34" fillId="33" borderId="61" xfId="0" applyFont="1" applyFill="1" applyBorder="1" applyAlignment="1">
      <alignment horizontal="left" vertical="center" wrapText="1"/>
    </xf>
    <xf numFmtId="0" fontId="0" fillId="33" borderId="62" xfId="0" applyFill="1" applyBorder="1" applyAlignment="1">
      <alignment wrapText="1"/>
    </xf>
    <xf numFmtId="0" fontId="0" fillId="33" borderId="63" xfId="0" applyFill="1" applyBorder="1" applyAlignment="1">
      <alignment wrapText="1"/>
    </xf>
    <xf numFmtId="0" fontId="0" fillId="33" borderId="59" xfId="0" applyFill="1" applyBorder="1" applyAlignment="1">
      <alignment wrapText="1"/>
    </xf>
    <xf numFmtId="0" fontId="0" fillId="33" borderId="60" xfId="0" applyFill="1" applyBorder="1" applyAlignment="1">
      <alignment wrapText="1"/>
    </xf>
    <xf numFmtId="0" fontId="34" fillId="33" borderId="57" xfId="0" applyFont="1" applyFill="1" applyBorder="1" applyAlignment="1">
      <alignment horizontal="left" vertical="center" wrapText="1"/>
    </xf>
    <xf numFmtId="0" fontId="34" fillId="33" borderId="58" xfId="0" applyFont="1" applyFill="1" applyBorder="1" applyAlignment="1">
      <alignment horizontal="left" vertical="center" wrapText="1"/>
    </xf>
    <xf numFmtId="0" fontId="34" fillId="33" borderId="59" xfId="0" applyFont="1" applyFill="1" applyBorder="1" applyAlignment="1">
      <alignment horizontal="left" vertical="center" wrapText="1"/>
    </xf>
    <xf numFmtId="0" fontId="34" fillId="33" borderId="60" xfId="0" applyFont="1" applyFill="1" applyBorder="1" applyAlignment="1">
      <alignment horizontal="left" vertical="center" wrapText="1"/>
    </xf>
    <xf numFmtId="0" fontId="0" fillId="33" borderId="57" xfId="0" applyFill="1" applyBorder="1" applyAlignment="1">
      <alignment wrapText="1"/>
    </xf>
    <xf numFmtId="0" fontId="0" fillId="33" borderId="58" xfId="0" applyFill="1" applyBorder="1" applyAlignment="1">
      <alignment wrapText="1"/>
    </xf>
    <xf numFmtId="3" fontId="5" fillId="33" borderId="10" xfId="0" applyNumberFormat="1" applyFont="1" applyFill="1" applyBorder="1" applyAlignment="1">
      <alignment horizontal="centerContinuous"/>
    </xf>
    <xf numFmtId="0" fontId="0" fillId="53" borderId="29" xfId="0" applyFill="1" applyBorder="1"/>
    <xf numFmtId="0" fontId="0" fillId="53" borderId="30" xfId="0" applyFill="1" applyBorder="1"/>
    <xf numFmtId="0" fontId="0" fillId="53" borderId="22" xfId="0" applyFill="1" applyBorder="1"/>
    <xf numFmtId="0" fontId="9" fillId="53" borderId="32" xfId="0" applyFont="1" applyFill="1" applyBorder="1"/>
    <xf numFmtId="167" fontId="9" fillId="53" borderId="24" xfId="0" applyNumberFormat="1" applyFont="1" applyFill="1" applyBorder="1"/>
    <xf numFmtId="0" fontId="36" fillId="33" borderId="0" xfId="0" applyFont="1" applyFill="1"/>
    <xf numFmtId="0" fontId="37" fillId="33" borderId="25" xfId="0" applyFont="1" applyFill="1" applyBorder="1"/>
    <xf numFmtId="0" fontId="37" fillId="33" borderId="33" xfId="0" applyFont="1" applyFill="1" applyBorder="1"/>
    <xf numFmtId="0" fontId="37" fillId="33" borderId="33" xfId="0" applyFont="1" applyFill="1" applyBorder="1" applyAlignment="1">
      <alignment horizontal="center"/>
    </xf>
    <xf numFmtId="0" fontId="37" fillId="41" borderId="0" xfId="0" applyFont="1" applyFill="1"/>
    <xf numFmtId="0" fontId="37" fillId="33" borderId="29" xfId="0" applyFont="1" applyFill="1" applyBorder="1"/>
    <xf numFmtId="0" fontId="37" fillId="33" borderId="31" xfId="0" applyFont="1" applyFill="1" applyBorder="1" applyAlignment="1">
      <alignment horizontal="center"/>
    </xf>
    <xf numFmtId="0" fontId="37" fillId="33" borderId="46" xfId="0" applyFont="1" applyFill="1" applyBorder="1" applyAlignment="1">
      <alignment horizontal="center"/>
    </xf>
    <xf numFmtId="0" fontId="38" fillId="41" borderId="29" xfId="0" applyFont="1" applyFill="1" applyBorder="1" applyAlignment="1">
      <alignment horizontal="center"/>
    </xf>
    <xf numFmtId="0" fontId="38" fillId="41" borderId="10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41" borderId="26" xfId="0" applyFont="1" applyFill="1" applyBorder="1" applyAlignment="1">
      <alignment horizontal="center"/>
    </xf>
    <xf numFmtId="0" fontId="37" fillId="41" borderId="30" xfId="0" applyFont="1" applyFill="1" applyBorder="1"/>
    <xf numFmtId="1" fontId="37" fillId="41" borderId="20" xfId="0" applyNumberFormat="1" applyFont="1" applyFill="1" applyBorder="1"/>
    <xf numFmtId="1" fontId="37" fillId="33" borderId="0" xfId="0" applyNumberFormat="1" applyFont="1" applyFill="1"/>
    <xf numFmtId="1" fontId="37" fillId="41" borderId="22" xfId="0" applyNumberFormat="1" applyFont="1" applyFill="1" applyBorder="1"/>
    <xf numFmtId="0" fontId="37" fillId="44" borderId="0" xfId="0" applyFont="1" applyFill="1"/>
    <xf numFmtId="1" fontId="37" fillId="41" borderId="27" xfId="0" applyNumberFormat="1" applyFont="1" applyFill="1" applyBorder="1"/>
    <xf numFmtId="3" fontId="37" fillId="33" borderId="31" xfId="0" applyNumberFormat="1" applyFont="1" applyFill="1" applyBorder="1"/>
    <xf numFmtId="1" fontId="37" fillId="41" borderId="46" xfId="0" applyNumberFormat="1" applyFont="1" applyFill="1" applyBorder="1"/>
    <xf numFmtId="3" fontId="37" fillId="33" borderId="0" xfId="0" applyNumberFormat="1" applyFont="1" applyFill="1"/>
    <xf numFmtId="1" fontId="37" fillId="41" borderId="28" xfId="0" applyNumberFormat="1" applyFont="1" applyFill="1" applyBorder="1"/>
    <xf numFmtId="3" fontId="37" fillId="33" borderId="23" xfId="0" applyNumberFormat="1" applyFont="1" applyFill="1" applyBorder="1"/>
    <xf numFmtId="1" fontId="37" fillId="41" borderId="24" xfId="0" applyNumberFormat="1" applyFont="1" applyFill="1" applyBorder="1"/>
    <xf numFmtId="1" fontId="37" fillId="41" borderId="0" xfId="0" applyNumberFormat="1" applyFont="1" applyFill="1"/>
    <xf numFmtId="0" fontId="38" fillId="41" borderId="30" xfId="0" applyFont="1" applyFill="1" applyBorder="1" applyAlignment="1">
      <alignment horizontal="center"/>
    </xf>
    <xf numFmtId="0" fontId="37" fillId="41" borderId="32" xfId="0" applyFont="1" applyFill="1" applyBorder="1"/>
    <xf numFmtId="1" fontId="37" fillId="33" borderId="23" xfId="0" applyNumberFormat="1" applyFont="1" applyFill="1" applyBorder="1"/>
    <xf numFmtId="0" fontId="37" fillId="33" borderId="0" xfId="0" applyFont="1" applyFill="1"/>
    <xf numFmtId="0" fontId="38" fillId="41" borderId="25" xfId="0" applyFont="1" applyFill="1" applyBorder="1" applyAlignment="1">
      <alignment horizontal="center"/>
    </xf>
    <xf numFmtId="0" fontId="38" fillId="41" borderId="23" xfId="0" applyFont="1" applyFill="1" applyBorder="1" applyAlignment="1">
      <alignment horizontal="center"/>
    </xf>
    <xf numFmtId="0" fontId="38" fillId="41" borderId="23" xfId="0" applyFont="1" applyFill="1" applyBorder="1" applyAlignment="1">
      <alignment horizontal="center" wrapText="1"/>
    </xf>
    <xf numFmtId="9" fontId="37" fillId="33" borderId="0" xfId="0" applyNumberFormat="1" applyFont="1" applyFill="1"/>
    <xf numFmtId="10" fontId="37" fillId="33" borderId="0" xfId="0" applyNumberFormat="1" applyFont="1" applyFill="1"/>
    <xf numFmtId="168" fontId="36" fillId="41" borderId="0" xfId="0" applyNumberFormat="1" applyFont="1" applyFill="1"/>
    <xf numFmtId="3" fontId="36" fillId="41" borderId="0" xfId="0" applyNumberFormat="1" applyFont="1" applyFill="1"/>
    <xf numFmtId="168" fontId="36" fillId="41" borderId="23" xfId="0" applyNumberFormat="1" applyFont="1" applyFill="1" applyBorder="1"/>
    <xf numFmtId="3" fontId="36" fillId="41" borderId="23" xfId="0" applyNumberFormat="1" applyFont="1" applyFill="1" applyBorder="1"/>
    <xf numFmtId="10" fontId="36" fillId="33" borderId="0" xfId="0" applyNumberFormat="1" applyFont="1" applyFill="1"/>
    <xf numFmtId="0" fontId="38" fillId="41" borderId="0" xfId="0" applyFont="1" applyFill="1" applyAlignment="1">
      <alignment horizontal="center" wrapText="1"/>
    </xf>
    <xf numFmtId="3" fontId="37" fillId="41" borderId="0" xfId="0" applyNumberFormat="1" applyFont="1" applyFill="1"/>
    <xf numFmtId="3" fontId="37" fillId="41" borderId="23" xfId="0" applyNumberFormat="1" applyFont="1" applyFill="1" applyBorder="1"/>
    <xf numFmtId="0" fontId="38" fillId="41" borderId="33" xfId="0" applyFont="1" applyFill="1" applyBorder="1" applyAlignment="1">
      <alignment horizontal="center" wrapText="1"/>
    </xf>
    <xf numFmtId="2" fontId="37" fillId="33" borderId="0" xfId="0" applyNumberFormat="1" applyFont="1" applyFill="1"/>
    <xf numFmtId="9" fontId="36" fillId="33" borderId="0" xfId="0" applyNumberFormat="1" applyFont="1" applyFill="1"/>
    <xf numFmtId="2" fontId="36" fillId="33" borderId="0" xfId="0" applyNumberFormat="1" applyFont="1" applyFill="1"/>
    <xf numFmtId="10" fontId="36" fillId="41" borderId="0" xfId="0" applyNumberFormat="1" applyFont="1" applyFill="1"/>
    <xf numFmtId="10" fontId="36" fillId="41" borderId="23" xfId="0" applyNumberFormat="1" applyFont="1" applyFill="1" applyBorder="1"/>
    <xf numFmtId="1" fontId="37" fillId="41" borderId="23" xfId="0" applyNumberFormat="1" applyFont="1" applyFill="1" applyBorder="1"/>
    <xf numFmtId="0" fontId="38" fillId="41" borderId="32" xfId="0" applyFont="1" applyFill="1" applyBorder="1" applyAlignment="1">
      <alignment horizontal="center"/>
    </xf>
    <xf numFmtId="9" fontId="37" fillId="41" borderId="23" xfId="0" applyNumberFormat="1" applyFont="1" applyFill="1" applyBorder="1"/>
    <xf numFmtId="10" fontId="37" fillId="41" borderId="23" xfId="0" applyNumberFormat="1" applyFont="1" applyFill="1" applyBorder="1"/>
    <xf numFmtId="3" fontId="40" fillId="41" borderId="23" xfId="0" applyNumberFormat="1" applyFont="1" applyFill="1" applyBorder="1"/>
    <xf numFmtId="9" fontId="36" fillId="41" borderId="23" xfId="0" applyNumberFormat="1" applyFont="1" applyFill="1" applyBorder="1"/>
    <xf numFmtId="2" fontId="36" fillId="41" borderId="23" xfId="0" applyNumberFormat="1" applyFont="1" applyFill="1" applyBorder="1"/>
    <xf numFmtId="168" fontId="36" fillId="33" borderId="0" xfId="0" applyNumberFormat="1" applyFont="1" applyFill="1"/>
    <xf numFmtId="3" fontId="36" fillId="33" borderId="0" xfId="0" applyNumberFormat="1" applyFont="1" applyFill="1"/>
    <xf numFmtId="0" fontId="38" fillId="33" borderId="0" xfId="0" applyFont="1" applyFill="1" applyAlignment="1">
      <alignment horizontal="center" wrapText="1"/>
    </xf>
    <xf numFmtId="0" fontId="38" fillId="33" borderId="0" xfId="0" applyFont="1" applyFill="1" applyAlignment="1">
      <alignment horizontal="center"/>
    </xf>
    <xf numFmtId="3" fontId="40" fillId="41" borderId="0" xfId="0" applyNumberFormat="1" applyFont="1" applyFill="1"/>
    <xf numFmtId="0" fontId="38" fillId="41" borderId="23" xfId="0" applyFont="1" applyFill="1" applyBorder="1" applyAlignment="1">
      <alignment horizontal="left"/>
    </xf>
    <xf numFmtId="2" fontId="40" fillId="41" borderId="23" xfId="0" applyNumberFormat="1" applyFont="1" applyFill="1" applyBorder="1"/>
    <xf numFmtId="9" fontId="37" fillId="41" borderId="0" xfId="0" applyNumberFormat="1" applyFont="1" applyFill="1"/>
    <xf numFmtId="3" fontId="40" fillId="33" borderId="10" xfId="0" applyNumberFormat="1" applyFont="1" applyFill="1" applyBorder="1"/>
    <xf numFmtId="0" fontId="37" fillId="44" borderId="23" xfId="0" applyFont="1" applyFill="1" applyBorder="1"/>
    <xf numFmtId="169" fontId="0" fillId="42" borderId="0" xfId="0" applyNumberFormat="1" applyFill="1"/>
    <xf numFmtId="168" fontId="40" fillId="41" borderId="0" xfId="0" applyNumberFormat="1" applyFont="1" applyFill="1"/>
    <xf numFmtId="0" fontId="6" fillId="35" borderId="23" xfId="0" applyFont="1" applyFill="1" applyBorder="1" applyAlignment="1">
      <alignment wrapText="1"/>
    </xf>
    <xf numFmtId="0" fontId="6" fillId="35" borderId="23" xfId="0" applyFont="1" applyFill="1" applyBorder="1"/>
    <xf numFmtId="0" fontId="0" fillId="35" borderId="33" xfId="0" applyFill="1" applyBorder="1"/>
    <xf numFmtId="3" fontId="0" fillId="35" borderId="33" xfId="0" applyNumberFormat="1" applyFill="1" applyBorder="1"/>
    <xf numFmtId="3" fontId="9" fillId="35" borderId="33" xfId="0" applyNumberFormat="1" applyFont="1" applyFill="1" applyBorder="1"/>
    <xf numFmtId="0" fontId="6" fillId="35" borderId="23" xfId="0" applyFont="1" applyFill="1" applyBorder="1" applyAlignment="1">
      <alignment horizontal="centerContinuous"/>
    </xf>
    <xf numFmtId="3" fontId="5" fillId="35" borderId="0" xfId="0" applyNumberFormat="1" applyFont="1" applyFill="1" applyAlignment="1">
      <alignment horizontal="centerContinuous"/>
    </xf>
    <xf numFmtId="3" fontId="6" fillId="35" borderId="0" xfId="0" applyNumberFormat="1" applyFont="1" applyFill="1"/>
    <xf numFmtId="0" fontId="42" fillId="33" borderId="0" xfId="0" applyFont="1" applyFill="1"/>
    <xf numFmtId="0" fontId="9" fillId="35" borderId="23" xfId="3" applyFont="1" applyFill="1" applyBorder="1"/>
    <xf numFmtId="167" fontId="9" fillId="35" borderId="23" xfId="0" applyNumberFormat="1" applyFont="1" applyFill="1" applyBorder="1"/>
    <xf numFmtId="0" fontId="6" fillId="35" borderId="0" xfId="3" applyFont="1" applyFill="1"/>
    <xf numFmtId="3" fontId="40" fillId="43" borderId="0" xfId="0" applyNumberFormat="1" applyFont="1" applyFill="1"/>
    <xf numFmtId="1" fontId="37" fillId="43" borderId="0" xfId="0" applyNumberFormat="1" applyFont="1" applyFill="1"/>
    <xf numFmtId="3" fontId="37" fillId="43" borderId="0" xfId="0" applyNumberFormat="1" applyFont="1" applyFill="1"/>
    <xf numFmtId="3" fontId="37" fillId="43" borderId="0" xfId="0" applyNumberFormat="1" applyFont="1" applyFill="1" applyAlignment="1">
      <alignment horizontal="center"/>
    </xf>
    <xf numFmtId="3" fontId="40" fillId="43" borderId="0" xfId="0" applyNumberFormat="1" applyFont="1" applyFill="1" applyAlignment="1">
      <alignment horizontal="center"/>
    </xf>
    <xf numFmtId="3" fontId="37" fillId="43" borderId="23" xfId="0" applyNumberFormat="1" applyFont="1" applyFill="1" applyBorder="1"/>
    <xf numFmtId="0" fontId="35" fillId="35" borderId="0" xfId="45" applyFill="1" applyBorder="1" applyAlignment="1" applyProtection="1">
      <alignment vertical="center"/>
      <protection locked="0"/>
    </xf>
    <xf numFmtId="0" fontId="0" fillId="35" borderId="0" xfId="0" applyFill="1" applyAlignment="1" applyProtection="1">
      <alignment vertical="center"/>
      <protection locked="0"/>
    </xf>
    <xf numFmtId="4" fontId="0" fillId="33" borderId="10" xfId="0" applyNumberFormat="1" applyFill="1" applyBorder="1"/>
    <xf numFmtId="1" fontId="9" fillId="33" borderId="0" xfId="0" applyNumberFormat="1" applyFont="1" applyFill="1" applyAlignment="1">
      <alignment horizontal="center"/>
    </xf>
    <xf numFmtId="1" fontId="9" fillId="33" borderId="32" xfId="0" applyNumberFormat="1" applyFont="1" applyFill="1" applyBorder="1" applyAlignment="1">
      <alignment horizontal="center"/>
    </xf>
    <xf numFmtId="1" fontId="9" fillId="33" borderId="24" xfId="0" applyNumberFormat="1" applyFont="1" applyFill="1" applyBorder="1" applyAlignment="1">
      <alignment horizontal="center"/>
    </xf>
    <xf numFmtId="0" fontId="0" fillId="37" borderId="24" xfId="0" applyFill="1" applyBorder="1" applyAlignment="1">
      <alignment horizontal="centerContinuous" vertical="top"/>
    </xf>
    <xf numFmtId="4" fontId="0" fillId="33" borderId="25" xfId="0" applyNumberFormat="1" applyFill="1" applyBorder="1"/>
    <xf numFmtId="2" fontId="0" fillId="33" borderId="29" xfId="0" applyNumberFormat="1" applyFill="1" applyBorder="1"/>
    <xf numFmtId="2" fontId="0" fillId="33" borderId="46" xfId="0" applyNumberFormat="1" applyFill="1" applyBorder="1"/>
    <xf numFmtId="1" fontId="9" fillId="33" borderId="23" xfId="0" applyNumberFormat="1" applyFont="1" applyFill="1" applyBorder="1" applyAlignment="1">
      <alignment horizontal="center"/>
    </xf>
    <xf numFmtId="2" fontId="0" fillId="38" borderId="10" xfId="0" applyNumberFormat="1" applyFill="1" applyBorder="1"/>
    <xf numFmtId="2" fontId="0" fillId="37" borderId="25" xfId="0" applyNumberFormat="1" applyFill="1" applyBorder="1"/>
    <xf numFmtId="0" fontId="9" fillId="35" borderId="11" xfId="0" applyFont="1" applyFill="1" applyBorder="1"/>
    <xf numFmtId="44" fontId="0" fillId="33" borderId="61" xfId="46" applyFont="1" applyFill="1" applyBorder="1" applyAlignment="1">
      <alignment horizontal="right" wrapText="1"/>
    </xf>
    <xf numFmtId="44" fontId="5" fillId="33" borderId="10" xfId="46" applyFont="1" applyFill="1" applyBorder="1" applyAlignment="1">
      <alignment horizontal="centerContinuous"/>
    </xf>
    <xf numFmtId="44" fontId="0" fillId="33" borderId="10" xfId="46" applyFont="1" applyFill="1" applyBorder="1"/>
    <xf numFmtId="44" fontId="0" fillId="33" borderId="10" xfId="46" applyFont="1" applyFill="1" applyBorder="1" applyAlignment="1">
      <alignment vertical="center"/>
    </xf>
    <xf numFmtId="44" fontId="0" fillId="35" borderId="0" xfId="46" applyFont="1" applyFill="1"/>
    <xf numFmtId="44" fontId="37" fillId="33" borderId="0" xfId="46" applyFont="1" applyFill="1"/>
    <xf numFmtId="0" fontId="5" fillId="36" borderId="17" xfId="2" applyFont="1" applyFill="1" applyBorder="1"/>
    <xf numFmtId="0" fontId="6" fillId="36" borderId="17" xfId="3" applyFont="1" applyFill="1" applyBorder="1"/>
    <xf numFmtId="0" fontId="5" fillId="36" borderId="17" xfId="3" applyFont="1" applyFill="1" applyBorder="1"/>
    <xf numFmtId="2" fontId="5" fillId="36" borderId="17" xfId="2" applyNumberFormat="1" applyFont="1" applyFill="1" applyBorder="1"/>
    <xf numFmtId="0" fontId="5" fillId="36" borderId="13" xfId="2" applyFont="1" applyFill="1" applyBorder="1"/>
    <xf numFmtId="0" fontId="0" fillId="36" borderId="13" xfId="0" applyFill="1" applyBorder="1"/>
    <xf numFmtId="3" fontId="0" fillId="36" borderId="16" xfId="0" applyNumberFormat="1" applyFill="1" applyBorder="1"/>
    <xf numFmtId="0" fontId="5" fillId="0" borderId="17" xfId="2" applyFont="1" applyBorder="1"/>
    <xf numFmtId="2" fontId="5" fillId="0" borderId="17" xfId="3" applyNumberFormat="1" applyFont="1" applyBorder="1" applyProtection="1">
      <protection hidden="1"/>
    </xf>
    <xf numFmtId="0" fontId="6" fillId="0" borderId="17" xfId="3" applyFont="1" applyBorder="1"/>
    <xf numFmtId="0" fontId="26" fillId="0" borderId="17" xfId="2" applyFont="1" applyBorder="1" applyAlignment="1">
      <alignment vertical="top"/>
    </xf>
    <xf numFmtId="0" fontId="9" fillId="35" borderId="17" xfId="0" applyFont="1" applyFill="1" applyBorder="1"/>
    <xf numFmtId="0" fontId="9" fillId="40" borderId="11" xfId="0" applyFont="1" applyFill="1" applyBorder="1"/>
    <xf numFmtId="3" fontId="0" fillId="35" borderId="0" xfId="0" applyNumberFormat="1" applyFill="1" applyAlignment="1">
      <alignment horizontal="right"/>
    </xf>
    <xf numFmtId="6" fontId="0" fillId="35" borderId="0" xfId="46" applyNumberFormat="1" applyFont="1" applyFill="1"/>
    <xf numFmtId="6" fontId="9" fillId="35" borderId="0" xfId="46" applyNumberFormat="1" applyFont="1" applyFill="1"/>
    <xf numFmtId="6" fontId="0" fillId="35" borderId="23" xfId="46" applyNumberFormat="1" applyFont="1" applyFill="1" applyBorder="1" applyAlignment="1">
      <alignment vertical="center"/>
    </xf>
    <xf numFmtId="6" fontId="9" fillId="35" borderId="23" xfId="46" applyNumberFormat="1" applyFont="1" applyFill="1" applyBorder="1" applyAlignment="1">
      <alignment vertical="center"/>
    </xf>
    <xf numFmtId="0" fontId="6" fillId="35" borderId="23" xfId="0" applyFont="1" applyFill="1" applyBorder="1" applyAlignment="1">
      <alignment horizontal="center"/>
    </xf>
    <xf numFmtId="0" fontId="0" fillId="36" borderId="32" xfId="0" applyFill="1" applyBorder="1" applyAlignment="1">
      <alignment horizontal="center" wrapText="1"/>
    </xf>
    <xf numFmtId="0" fontId="0" fillId="36" borderId="23" xfId="0" applyFill="1" applyBorder="1" applyAlignment="1">
      <alignment horizontal="center" wrapText="1"/>
    </xf>
    <xf numFmtId="0" fontId="0" fillId="38" borderId="23" xfId="0" applyFill="1" applyBorder="1" applyAlignment="1">
      <alignment horizontal="center" vertical="top" wrapText="1"/>
    </xf>
    <xf numFmtId="0" fontId="0" fillId="35" borderId="0" xfId="0" applyFill="1" applyAlignment="1">
      <alignment vertical="center" wrapText="1"/>
    </xf>
  </cellXfs>
  <cellStyles count="47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9" xr:uid="{00000000-0005-0000-0000-000018000000}"/>
    <cellStyle name="Calculation 2" xfId="13" xr:uid="{00000000-0005-0000-0000-000019000000}"/>
    <cellStyle name="Check Cell 2" xfId="15" xr:uid="{00000000-0005-0000-0000-00001A000000}"/>
    <cellStyle name="Currency" xfId="46" builtinId="4"/>
    <cellStyle name="Explanatory Text 2" xfId="17" xr:uid="{00000000-0005-0000-0000-00001B000000}"/>
    <cellStyle name="Good 2" xfId="8" xr:uid="{00000000-0005-0000-0000-00001C000000}"/>
    <cellStyle name="Heading 1 2" xfId="4" xr:uid="{00000000-0005-0000-0000-00001D000000}"/>
    <cellStyle name="Heading 2 2" xfId="5" xr:uid="{00000000-0005-0000-0000-00001E000000}"/>
    <cellStyle name="Heading 3 2" xfId="6" xr:uid="{00000000-0005-0000-0000-00001F000000}"/>
    <cellStyle name="Heading 4 2" xfId="7" xr:uid="{00000000-0005-0000-0000-000020000000}"/>
    <cellStyle name="Hyperlink" xfId="45" builtinId="8"/>
    <cellStyle name="Input 2" xfId="11" xr:uid="{00000000-0005-0000-0000-000022000000}"/>
    <cellStyle name="Linked Cell 2" xfId="14" xr:uid="{00000000-0005-0000-0000-000023000000}"/>
    <cellStyle name="Neutral 2" xfId="10" xr:uid="{00000000-0005-0000-0000-000024000000}"/>
    <cellStyle name="Normal" xfId="0" builtinId="0"/>
    <cellStyle name="Normal 2" xfId="3" xr:uid="{00000000-0005-0000-0000-000026000000}"/>
    <cellStyle name="Normal 3" xfId="43" xr:uid="{00000000-0005-0000-0000-000027000000}"/>
    <cellStyle name="Normal 4" xfId="2" xr:uid="{00000000-0005-0000-0000-000028000000}"/>
    <cellStyle name="Note 2" xfId="44" xr:uid="{00000000-0005-0000-0000-000029000000}"/>
    <cellStyle name="Output 2" xfId="12" xr:uid="{00000000-0005-0000-0000-00002A000000}"/>
    <cellStyle name="Title" xfId="1" builtinId="15" customBuiltin="1"/>
    <cellStyle name="Total 2" xfId="18" xr:uid="{00000000-0005-0000-0000-00002C000000}"/>
    <cellStyle name="Warning Text 2" xfId="16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487680</xdr:colOff>
      <xdr:row>19</xdr:row>
      <xdr:rowOff>281940</xdr:rowOff>
    </xdr:from>
    <xdr:to>
      <xdr:col>10</xdr:col>
      <xdr:colOff>1905</xdr:colOff>
      <xdr:row>24</xdr:row>
      <xdr:rowOff>0</xdr:rowOff>
    </xdr:to>
    <xdr:pic>
      <xdr:nvPicPr>
        <xdr:cNvPr id="2" name="Picture 1" descr="C:\Documents and Settings\AFlanders\My Documents\Current My Documents\Administrative\UA-color-cntr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4020" y="3878580"/>
          <a:ext cx="140970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data.bls.gov/oes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data.bls.gov/oes/" TargetMode="External"/><Relationship Id="rId1" Type="http://schemas.openxmlformats.org/officeDocument/2006/relationships/hyperlink" Target="https://www.bls.gov/oes/current/oes119013.ht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style="41" customWidth="1"/>
    <col min="8" max="13" width="8.85546875" customWidth="1"/>
  </cols>
  <sheetData>
    <row r="1" spans="1:29" x14ac:dyDescent="0.25">
      <c r="A1" s="564" t="s">
        <v>38</v>
      </c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x14ac:dyDescent="0.25">
      <c r="A2" s="35" t="s">
        <v>24</v>
      </c>
      <c r="B2" s="25" t="s">
        <v>23</v>
      </c>
      <c r="C2" s="25"/>
      <c r="D2" s="26" t="s">
        <v>26</v>
      </c>
      <c r="E2" s="26"/>
      <c r="F2" s="27" t="s">
        <v>28</v>
      </c>
      <c r="G2" s="29"/>
      <c r="H2" s="25" t="s">
        <v>23</v>
      </c>
      <c r="I2" s="25"/>
      <c r="J2" s="26" t="s">
        <v>26</v>
      </c>
      <c r="K2" s="26"/>
      <c r="L2" s="28" t="s">
        <v>28</v>
      </c>
      <c r="M2" s="431" t="s">
        <v>23</v>
      </c>
      <c r="N2" s="25"/>
      <c r="O2" s="26" t="s">
        <v>26</v>
      </c>
      <c r="P2" s="26"/>
      <c r="Q2" s="106" t="s">
        <v>28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27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27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0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342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343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IF(B$4&gt;0,X_Wheat!B11,0)</f>
        <v>0</v>
      </c>
      <c r="C11" s="314">
        <f>IF(C$4&gt;0,X_Wheat!C11,0)</f>
        <v>0</v>
      </c>
      <c r="D11" s="314">
        <f>IF(D$4&gt;0,X_Wheat!D11,0)</f>
        <v>0</v>
      </c>
      <c r="E11" s="314">
        <f>IF(E$4&gt;0,X_Wheat!E11,0)</f>
        <v>0</v>
      </c>
      <c r="F11" s="314">
        <f>IF(F$4&gt;0,X_Wheat!F11,0)</f>
        <v>0</v>
      </c>
      <c r="G11" s="5"/>
      <c r="H11" s="314">
        <f>IF(H$4&gt;0,X_Wheat!H11,0)*Wheat!M11</f>
        <v>0</v>
      </c>
      <c r="I11" s="314">
        <f>IF(I$4&gt;0,X_Wheat!I11,0)*Wheat!N11</f>
        <v>0</v>
      </c>
      <c r="J11" s="314">
        <f>IF(J$4&gt;0,X_Wheat!J11,0)*Wheat!O11</f>
        <v>0</v>
      </c>
      <c r="K11" s="314">
        <f>IF(K$4&gt;0,X_Wheat!K11,0)*Wheat!P11</f>
        <v>0</v>
      </c>
      <c r="L11" s="314">
        <f>IF(L$4&gt;0,X_Wheat!L11,0)*Wheat!Q11</f>
        <v>0</v>
      </c>
      <c r="M11" s="439">
        <v>1</v>
      </c>
      <c r="N11" s="91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IF(B$4&gt;0,X_Wheat!B12,0)</f>
        <v>0</v>
      </c>
      <c r="C12" s="314">
        <f>IF(C$4&gt;0,X_Wheat!C12,0)</f>
        <v>0</v>
      </c>
      <c r="D12" s="314">
        <f>IF(D$4&gt;0,X_Wheat!D12,0)</f>
        <v>0</v>
      </c>
      <c r="E12" s="314">
        <f>IF(E$4&gt;0,X_Wheat!E12,0)</f>
        <v>0</v>
      </c>
      <c r="F12" s="314">
        <f>IF(F$4&gt;0,X_Wheat!F12,0)</f>
        <v>0</v>
      </c>
      <c r="G12" s="5"/>
      <c r="H12" s="314">
        <f>IF(H$4&gt;0,X_Wheat!H12,0)*Wheat!M12</f>
        <v>0</v>
      </c>
      <c r="I12" s="314">
        <f>IF(I$4&gt;0,X_Wheat!I12,0)*Wheat!N12</f>
        <v>0</v>
      </c>
      <c r="J12" s="314">
        <f>IF(J$4&gt;0,X_Wheat!J12,0)*Wheat!O12</f>
        <v>0</v>
      </c>
      <c r="K12" s="314">
        <f>IF(K$4&gt;0,X_Wheat!K12,0)*Wheat!P12</f>
        <v>0</v>
      </c>
      <c r="L12" s="314">
        <f>IF(L$4&gt;0,X_Wheat!L12,0)*Wheat!Q12</f>
        <v>0</v>
      </c>
      <c r="M12" s="439">
        <v>1</v>
      </c>
      <c r="N12" s="91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IF(B$4&gt;0,X_Wheat!B13,0)</f>
        <v>0</v>
      </c>
      <c r="C13" s="314">
        <f>IF(C$4&gt;0,X_Wheat!C13,0)</f>
        <v>0</v>
      </c>
      <c r="D13" s="314">
        <f>IF(D$4&gt;0,X_Wheat!D13,0)</f>
        <v>0</v>
      </c>
      <c r="E13" s="314">
        <f>IF(E$4&gt;0,X_Wheat!E13,0)</f>
        <v>0</v>
      </c>
      <c r="F13" s="314">
        <f>IF(F$4&gt;0,X_Wheat!F13,0)</f>
        <v>0</v>
      </c>
      <c r="G13" s="5"/>
      <c r="H13" s="314">
        <f>IF(H$4&gt;0,X_Wheat!H13,0)*Wheat!M13</f>
        <v>0</v>
      </c>
      <c r="I13" s="314">
        <f>IF(I$4&gt;0,X_Wheat!I13,0)*Wheat!N13</f>
        <v>0</v>
      </c>
      <c r="J13" s="314">
        <f>IF(J$4&gt;0,X_Wheat!J13,0)*Wheat!O13</f>
        <v>0</v>
      </c>
      <c r="K13" s="314">
        <f>IF(K$4&gt;0,X_Wheat!K13,0)*Wheat!P13</f>
        <v>0</v>
      </c>
      <c r="L13" s="314">
        <f>IF(L$4&gt;0,X_Wheat!L13,0)*Wheat!Q13</f>
        <v>0</v>
      </c>
      <c r="M13" s="439">
        <v>1</v>
      </c>
      <c r="N13" s="91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IF(B$4&gt;0,X_Wheat!B14,0)</f>
        <v>0</v>
      </c>
      <c r="C14" s="314">
        <f>IF(C$4&gt;0,X_Wheat!C14,0)</f>
        <v>0</v>
      </c>
      <c r="D14" s="314">
        <f>IF(D$4&gt;0,X_Wheat!D14,0)</f>
        <v>0</v>
      </c>
      <c r="E14" s="314">
        <f>IF(E$4&gt;0,X_Wheat!E14,0)</f>
        <v>0</v>
      </c>
      <c r="F14" s="314">
        <f>IF(F$4&gt;0,X_Wheat!F14,0)</f>
        <v>0</v>
      </c>
      <c r="G14" s="5"/>
      <c r="H14" s="314">
        <f>IF(H$4&gt;0,X_Wheat!H14,0)*Wheat!M14</f>
        <v>0</v>
      </c>
      <c r="I14" s="314">
        <f>IF(I$4&gt;0,X_Wheat!I14,0)*Wheat!N14</f>
        <v>0</v>
      </c>
      <c r="J14" s="314">
        <f>IF(J$4&gt;0,X_Wheat!J14,0)*Wheat!O14</f>
        <v>0</v>
      </c>
      <c r="K14" s="314">
        <f>IF(K$4&gt;0,X_Wheat!K14,0)*Wheat!P14</f>
        <v>0</v>
      </c>
      <c r="L14" s="314">
        <f>IF(L$4&gt;0,X_Wheat!L14,0)*Wheat!Q14</f>
        <v>0</v>
      </c>
      <c r="M14" s="439">
        <v>1</v>
      </c>
      <c r="N14" s="91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IF(B$4&gt;0,X_Wheat!B15,0)</f>
        <v>0</v>
      </c>
      <c r="C15" s="314">
        <f>IF(C$4&gt;0,X_Wheat!C15,0)</f>
        <v>0</v>
      </c>
      <c r="D15" s="314">
        <f>IF(D$4&gt;0,X_Wheat!D15,0)</f>
        <v>0</v>
      </c>
      <c r="E15" s="314">
        <f>IF(E$4&gt;0,X_Wheat!E15,0)</f>
        <v>0</v>
      </c>
      <c r="F15" s="314">
        <f>IF(F$4&gt;0,X_Wheat!F15,0)</f>
        <v>0</v>
      </c>
      <c r="G15" s="5"/>
      <c r="H15" s="314">
        <f>IF(H$4&gt;0,X_Wheat!H15,0)*Wheat!M15</f>
        <v>0</v>
      </c>
      <c r="I15" s="314">
        <f>IF(I$4&gt;0,X_Wheat!I15,0)*Wheat!N15</f>
        <v>0</v>
      </c>
      <c r="J15" s="314">
        <f>IF(J$4&gt;0,X_Wheat!J15,0)*Wheat!O15</f>
        <v>0</v>
      </c>
      <c r="K15" s="314">
        <f>IF(K$4&gt;0,X_Wheat!K15,0)*Wheat!P15</f>
        <v>0</v>
      </c>
      <c r="L15" s="314">
        <f>IF(L$4&gt;0,X_Wheat!L15,0)*Wheat!Q15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IF(B$4&gt;0,X_Wheat!B16,0)</f>
        <v>0</v>
      </c>
      <c r="C16" s="314">
        <f>IF(C$4&gt;0,X_Wheat!C16,0)</f>
        <v>0</v>
      </c>
      <c r="D16" s="314">
        <f>IF(D$4&gt;0,X_Wheat!D16,0)</f>
        <v>0</v>
      </c>
      <c r="E16" s="314">
        <f>IF(E$4&gt;0,X_Wheat!E16,0)</f>
        <v>0</v>
      </c>
      <c r="F16" s="314">
        <f>IF(F$4&gt;0,X_Wheat!F16,0)</f>
        <v>0</v>
      </c>
      <c r="G16" s="5"/>
      <c r="H16" s="314">
        <f>IF(H$4&gt;0,X_Wheat!H16,0)*Wheat!M16</f>
        <v>0</v>
      </c>
      <c r="I16" s="314">
        <f>IF(I$4&gt;0,X_Wheat!I16,0)*Wheat!N16</f>
        <v>0</v>
      </c>
      <c r="J16" s="314">
        <f>IF(J$4&gt;0,X_Wheat!J16,0)*Wheat!O16</f>
        <v>0</v>
      </c>
      <c r="K16" s="314">
        <f>IF(K$4&gt;0,X_Wheat!K16,0)*Wheat!P16</f>
        <v>0</v>
      </c>
      <c r="L16" s="314">
        <f>IF(L$4&gt;0,X_Wheat!L16,0)*Wheat!Q16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IF(B$4&gt;0,X_Wheat!B17,0)</f>
        <v>0</v>
      </c>
      <c r="C17" s="314">
        <f>IF(C$4&gt;0,X_Wheat!C17,0)</f>
        <v>0</v>
      </c>
      <c r="D17" s="314">
        <f>IF(D$4&gt;0,X_Wheat!D17,0)</f>
        <v>0</v>
      </c>
      <c r="E17" s="314">
        <f>IF(E$4&gt;0,X_Wheat!E17,0)</f>
        <v>0</v>
      </c>
      <c r="F17" s="314">
        <f>IF(F$4&gt;0,X_Wheat!F17,0)</f>
        <v>0</v>
      </c>
      <c r="G17" s="5"/>
      <c r="H17" s="314">
        <f>IF(H$4&gt;0,X_Wheat!H17,0)*Wheat!M17</f>
        <v>0</v>
      </c>
      <c r="I17" s="314">
        <f>IF(I$4&gt;0,X_Wheat!I17,0)*Wheat!N17</f>
        <v>0</v>
      </c>
      <c r="J17" s="314">
        <f>IF(J$4&gt;0,X_Wheat!J17,0)*Wheat!O17</f>
        <v>0</v>
      </c>
      <c r="K17" s="314">
        <f>IF(K$4&gt;0,X_Wheat!K17,0)*Wheat!P17</f>
        <v>0</v>
      </c>
      <c r="L17" s="314">
        <f>IF(L$4&gt;0,X_Wheat!L17,0)*Wheat!Q17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IF(B$4&gt;0,X_Wheat!B18,0)</f>
        <v>0</v>
      </c>
      <c r="C18" s="314">
        <f>IF(C$4&gt;0,X_Wheat!C18,0)</f>
        <v>0</v>
      </c>
      <c r="D18" s="314">
        <f>IF(D$4&gt;0,X_Wheat!D18,0)</f>
        <v>0</v>
      </c>
      <c r="E18" s="314">
        <f>IF(E$4&gt;0,X_Wheat!E18,0)</f>
        <v>0</v>
      </c>
      <c r="F18" s="314">
        <f>IF(F$4&gt;0,X_Wheat!F18,0)</f>
        <v>0</v>
      </c>
      <c r="G18" s="5"/>
      <c r="H18" s="314">
        <f>IF(H$4&gt;0,X_Wheat!H18,0)*Wheat!M18</f>
        <v>0</v>
      </c>
      <c r="I18" s="314">
        <f>IF(I$4&gt;0,X_Wheat!I18,0)*Wheat!N18</f>
        <v>0</v>
      </c>
      <c r="J18" s="314">
        <f>IF(J$4&gt;0,X_Wheat!J18,0)*Wheat!O18</f>
        <v>0</v>
      </c>
      <c r="K18" s="314">
        <f>IF(K$4&gt;0,X_Wheat!K18,0)*Wheat!P18</f>
        <v>0</v>
      </c>
      <c r="L18" s="314">
        <f>IF(L$4&gt;0,X_Wheat!L18,0)*Wheat!Q18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IF(B$4&gt;0,X_Wheat!B19,0)</f>
        <v>0</v>
      </c>
      <c r="C19" s="314">
        <f>IF(C$4&gt;0,X_Wheat!C19,0)</f>
        <v>0</v>
      </c>
      <c r="D19" s="314">
        <f>IF(D$4&gt;0,X_Wheat!D19,0)</f>
        <v>0</v>
      </c>
      <c r="E19" s="314">
        <f>IF(E$4&gt;0,X_Wheat!E19,0)</f>
        <v>0</v>
      </c>
      <c r="F19" s="314">
        <f>IF(F$4&gt;0,X_Wheat!F19,0)</f>
        <v>0</v>
      </c>
      <c r="G19" s="5"/>
      <c r="H19" s="314">
        <f>IF(H$4&gt;0,X_Wheat!H19,0)*Wheat!M19</f>
        <v>0</v>
      </c>
      <c r="I19" s="314">
        <f>IF(I$4&gt;0,X_Wheat!I19,0)*Wheat!N19</f>
        <v>0</v>
      </c>
      <c r="J19" s="314">
        <f>IF(J$4&gt;0,X_Wheat!J19,0)*Wheat!O19</f>
        <v>0</v>
      </c>
      <c r="K19" s="314">
        <f>IF(K$4&gt;0,X_Wheat!K19,0)*Wheat!P19</f>
        <v>0</v>
      </c>
      <c r="L19" s="314">
        <f>IF(L$4&gt;0,X_Wheat!L19,0)*Wheat!Q19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IF(B$4&gt;0,X_Wheat!B20,0)</f>
        <v>0</v>
      </c>
      <c r="C20" s="314">
        <f>IF(C$4&gt;0,X_Wheat!C20,0)</f>
        <v>0</v>
      </c>
      <c r="D20" s="314">
        <f>IF(D$4&gt;0,X_Wheat!D20,0)</f>
        <v>0</v>
      </c>
      <c r="E20" s="314">
        <f>IF(E$4&gt;0,X_Wheat!E20,0)</f>
        <v>0</v>
      </c>
      <c r="F20" s="314">
        <f>IF(F$4&gt;0,X_Wheat!F20,0)</f>
        <v>0</v>
      </c>
      <c r="G20" s="5"/>
      <c r="H20" s="314">
        <f>IF(H$4&gt;0,X_Wheat!H20,0)*Wheat!M20</f>
        <v>0</v>
      </c>
      <c r="I20" s="314">
        <f>IF(I$4&gt;0,X_Wheat!I20,0)*Wheat!N20</f>
        <v>0</v>
      </c>
      <c r="J20" s="314">
        <f>IF(J$4&gt;0,X_Wheat!J20,0)*Wheat!O20</f>
        <v>0</v>
      </c>
      <c r="K20" s="314">
        <f>IF(K$4&gt;0,X_Wheat!K20,0)*Wheat!P20</f>
        <v>0</v>
      </c>
      <c r="L20" s="314">
        <f>IF(L$4&gt;0,X_Wheat!L20,0)*Wheat!Q20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IF(B$4&gt;0,X_Wheat!B21,0)</f>
        <v>0</v>
      </c>
      <c r="C21" s="314">
        <f>IF(C$4&gt;0,X_Wheat!C21,0)</f>
        <v>0</v>
      </c>
      <c r="D21" s="314">
        <f>IF(D$4&gt;0,X_Wheat!D21,0)</f>
        <v>0</v>
      </c>
      <c r="E21" s="314">
        <f>IF(E$4&gt;0,X_Wheat!E21,0)</f>
        <v>0</v>
      </c>
      <c r="F21" s="314">
        <f>IF(F$4&gt;0,X_Wheat!F21,0)</f>
        <v>0</v>
      </c>
      <c r="G21" s="5"/>
      <c r="H21" s="314">
        <f>IF(H$4&gt;0,X_Wheat!H21,0)*Wheat!M21</f>
        <v>0</v>
      </c>
      <c r="I21" s="314">
        <f>IF(I$4&gt;0,X_Wheat!I21,0)*Wheat!N21</f>
        <v>0</v>
      </c>
      <c r="J21" s="314">
        <f>IF(J$4&gt;0,X_Wheat!J21,0)*Wheat!O21</f>
        <v>0</v>
      </c>
      <c r="K21" s="314">
        <f>IF(K$4&gt;0,X_Wheat!K21,0)*Wheat!P21</f>
        <v>0</v>
      </c>
      <c r="L21" s="314">
        <f>IF(L$4&gt;0,X_Wheat!L21,0)*Wheat!Q21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IF(B$4&gt;0,X_Wheat!B23,0)</f>
        <v>0</v>
      </c>
      <c r="C23" s="314">
        <f>IF(C$4&gt;0,X_Wheat!C23,0)</f>
        <v>0</v>
      </c>
      <c r="D23" s="314">
        <f>IF(D$4&gt;0,X_Wheat!D23,0)</f>
        <v>0</v>
      </c>
      <c r="E23" s="314">
        <f>IF(E$4&gt;0,X_Wheat!E23,0)</f>
        <v>0</v>
      </c>
      <c r="F23" s="314">
        <f>IF(F$4&gt;0,X_Wheat!F23,0)</f>
        <v>0</v>
      </c>
      <c r="G23" s="5"/>
      <c r="H23" s="314">
        <f>IF(H$4&gt;0,X_Wheat!H23,0)*Wheat!M23</f>
        <v>0</v>
      </c>
      <c r="I23" s="314">
        <f>IF(I$4&gt;0,X_Wheat!I23,0)*Wheat!N23</f>
        <v>0</v>
      </c>
      <c r="J23" s="314">
        <f>IF(J$4&gt;0,X_Wheat!J23,0)*Wheat!O23</f>
        <v>0</v>
      </c>
      <c r="K23" s="314">
        <f>IF(K$4&gt;0,X_Wheat!K23,0)*Wheat!P23</f>
        <v>0</v>
      </c>
      <c r="L23" s="314">
        <f>IF(L$4&gt;0,X_Wheat!L23,0)*Wheat!Q23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IF(B$4&gt;0,(X_Wheat!B24/X_Wheat!B$6)*B$6,0)</f>
        <v>0</v>
      </c>
      <c r="C24" s="314">
        <f>IF(C$4&gt;0,(X_Wheat!C24/X_Wheat!C$6)*C$6,0)</f>
        <v>0</v>
      </c>
      <c r="D24" s="314">
        <f>IF(D$4&gt;0,(X_Wheat!D24/X_Wheat!D$6)*D$6,0)</f>
        <v>0</v>
      </c>
      <c r="E24" s="314">
        <f>IF(E$4&gt;0,(X_Wheat!E24/X_Wheat!E$6)*E$6,0)</f>
        <v>0</v>
      </c>
      <c r="F24" s="314">
        <f>IF(F$4&gt;0,(X_Wheat!F24/X_Wheat!F$6)*F$6,0)</f>
        <v>0</v>
      </c>
      <c r="G24" s="5"/>
      <c r="H24" s="314">
        <f>IF(H$4&gt;0,(X_Wheat!H24/X_Wheat!H$6)*H$6,0)*Wheat!M24</f>
        <v>0</v>
      </c>
      <c r="I24" s="314">
        <f>IF(I$4&gt;0,(X_Wheat!I24/X_Wheat!I$6)*I$6,0)*Wheat!N24</f>
        <v>0</v>
      </c>
      <c r="J24" s="314">
        <f>IF(J$4&gt;0,(X_Wheat!J24/X_Wheat!J$6)*J$6,0)*Wheat!O24</f>
        <v>0</v>
      </c>
      <c r="K24" s="314">
        <f>IF(K$4&gt;0,(X_Wheat!K24/X_Wheat!K$6)*K$6,0)*Wheat!P24</f>
        <v>0</v>
      </c>
      <c r="L24" s="314">
        <f>IF(L$4&gt;0,(X_Wheat!L24/X_Wheat!L$6)*L$6,0)*Wheat!Q24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 t="shared" ref="B25:E25" si="0">IF(B$4&gt;0,0.01*B$6,0)</f>
        <v>0</v>
      </c>
      <c r="C25" s="314">
        <f t="shared" si="0"/>
        <v>0</v>
      </c>
      <c r="D25" s="314">
        <f t="shared" si="0"/>
        <v>0</v>
      </c>
      <c r="E25" s="314">
        <f t="shared" si="0"/>
        <v>0</v>
      </c>
      <c r="F25" s="314">
        <f>IF(F$4&gt;0,0.01*F$6,0)</f>
        <v>0</v>
      </c>
      <c r="G25" s="5"/>
      <c r="H25" s="314">
        <f>IF(H$4&gt;0,0.01*H$6,0)*Wheat!M25</f>
        <v>0</v>
      </c>
      <c r="I25" s="314">
        <f>IF(I$4&gt;0,0.01*I$6,0)*Wheat!N25</f>
        <v>0</v>
      </c>
      <c r="J25" s="314">
        <f>IF(J$4&gt;0,0.01*J$6,0)*Wheat!O25</f>
        <v>0</v>
      </c>
      <c r="K25" s="314">
        <f>IF(K$4&gt;0,0.01*K$6,0)*Wheat!P25</f>
        <v>0</v>
      </c>
      <c r="L25" s="314">
        <f>IF(L$4&gt;0,0.01*L$6,0)*Wheat!Q25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IF(B$4&gt;0,X_Wheat!B26,0)</f>
        <v>0</v>
      </c>
      <c r="C26" s="191">
        <f>IF(C$4&gt;0,X_Wheat!C26,0)</f>
        <v>0</v>
      </c>
      <c r="D26" s="191">
        <f>IF(D$4&gt;0,X_Wheat!D26,0)</f>
        <v>0</v>
      </c>
      <c r="E26" s="191">
        <f>IF(E$4&gt;0,X_Wheat!E26,0)</f>
        <v>0</v>
      </c>
      <c r="F26" s="191">
        <f>IF(F$4&gt;0,X_Wheat!F26,0)</f>
        <v>0</v>
      </c>
      <c r="G26" s="5"/>
      <c r="H26" s="270">
        <f>IF(H$4&gt;0,X_Wheat!H26,0)</f>
        <v>0</v>
      </c>
      <c r="I26" s="270">
        <f>IF(I$4&gt;0,X_Wheat!I26,0)</f>
        <v>0</v>
      </c>
      <c r="J26" s="562">
        <f>IF(J$4&gt;0,X_Wheat!J26,0)</f>
        <v>0</v>
      </c>
      <c r="K26" s="562">
        <f>IF(K$4&gt;0,X_Wheat!K26,0)</f>
        <v>0</v>
      </c>
      <c r="L26" s="563">
        <f>IF(L$4&gt;0,X_Wheat!L26,0)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IF(B$4&gt;0,X_Wheat!B28,0)</f>
        <v>0</v>
      </c>
      <c r="C28" s="314">
        <f>IF(C$4&gt;0,X_Wheat!C28,0)</f>
        <v>0</v>
      </c>
      <c r="D28" s="314">
        <f>IF(D$4&gt;0,X_Wheat!D28,0)</f>
        <v>0</v>
      </c>
      <c r="E28" s="314">
        <f>IF(E$4&gt;0,X_Wheat!E28,0)</f>
        <v>0</v>
      </c>
      <c r="F28" s="314">
        <f>IF(F$4&gt;0,X_Wheat!F28,0)</f>
        <v>0</v>
      </c>
      <c r="G28" s="5"/>
      <c r="H28" s="314">
        <f>IF(H$4&gt;0,X_Wheat!H28,0)</f>
        <v>0</v>
      </c>
      <c r="I28" s="314">
        <f>IF(I$4&gt;0,X_Wheat!I28,0)</f>
        <v>0</v>
      </c>
      <c r="J28" s="314">
        <f>IF(J$4&gt;0,X_Wheat!J28,0)</f>
        <v>0</v>
      </c>
      <c r="K28" s="314">
        <f>IF(K$4&gt;0,X_Wheat!K28,0)</f>
        <v>0</v>
      </c>
      <c r="L28" s="314">
        <f>IF(L$4&gt;0,X_Wheat!L28,0)</f>
        <v>0</v>
      </c>
      <c r="M28" s="442"/>
      <c r="N28" s="57"/>
      <c r="O28" s="1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IF(B$4&gt;0,X_Wheat!B29,0)</f>
        <v>0</v>
      </c>
      <c r="C29" s="314">
        <f>IF(C$4&gt;0,X_Wheat!C29,0)</f>
        <v>0</v>
      </c>
      <c r="D29" s="314">
        <f>IF(D$4&gt;0,X_Wheat!D29,0)</f>
        <v>0</v>
      </c>
      <c r="E29" s="314">
        <f>IF(E$4&gt;0,X_Wheat!E29,0)</f>
        <v>0</v>
      </c>
      <c r="F29" s="314">
        <f>IF(F$4&gt;0,X_Wheat!F29,0)</f>
        <v>0</v>
      </c>
      <c r="G29" s="5"/>
      <c r="H29" s="314">
        <f>IF(H$4&gt;0,X_Wheat!H29,0)</f>
        <v>0</v>
      </c>
      <c r="I29" s="314">
        <f>IF(I$4&gt;0,X_Wheat!I29,0)</f>
        <v>0</v>
      </c>
      <c r="J29" s="314">
        <f>IF(J$4&gt;0,X_Wheat!J29,0)</f>
        <v>0</v>
      </c>
      <c r="K29" s="314">
        <f>IF(K$4&gt;0,X_Wheat!K29,0)</f>
        <v>0</v>
      </c>
      <c r="L29" s="314">
        <f>IF(L$4&gt;0,X_Wheat!L29,0)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IF(B$4&gt;0,X_Wheat!B30,0)</f>
        <v>0</v>
      </c>
      <c r="C30" s="314">
        <f>IF(C$4&gt;0,X_Wheat!C30,0)</f>
        <v>0</v>
      </c>
      <c r="D30" s="314">
        <f>IF(D$4&gt;0,X_Wheat!D30,0)</f>
        <v>0</v>
      </c>
      <c r="E30" s="314">
        <f>IF(E$4&gt;0,X_Wheat!E30,0)</f>
        <v>0</v>
      </c>
      <c r="F30" s="314">
        <f>IF(F$4&gt;0,X_Wheat!F30,0)</f>
        <v>0</v>
      </c>
      <c r="G30" s="5"/>
      <c r="H30" s="314">
        <f>IF(H$4&gt;0,X_Wheat!H30,0)</f>
        <v>0</v>
      </c>
      <c r="I30" s="314">
        <f>IF(I$4&gt;0,X_Wheat!I30,0)</f>
        <v>0</v>
      </c>
      <c r="J30" s="314">
        <f>IF(J$4&gt;0,X_Wheat!J30,0)</f>
        <v>0</v>
      </c>
      <c r="K30" s="314">
        <f>IF(K$4&gt;0,X_Wheat!K30,0)</f>
        <v>0</v>
      </c>
      <c r="L30" s="314">
        <f>IF(L$4&gt;0,X_Wheat!L30,0)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((X_Wheat!B32*0.2*B4)/1000)*'Farm Costs &amp; Returns'!$I$13</f>
        <v>0</v>
      </c>
      <c r="C32" s="315">
        <f>((X_Wheat!C32*0.2*C4)/1000)*'Farm Costs &amp; Returns'!$I$13</f>
        <v>0</v>
      </c>
      <c r="D32" s="315">
        <f>((X_Wheat!D32*0.2*D4)/1000)*'Farm Costs &amp; Returns'!$I$13</f>
        <v>0</v>
      </c>
      <c r="E32" s="315">
        <f>((X_Wheat!E32*0.2*E4)/1000)*'Farm Costs &amp; Returns'!$I$13</f>
        <v>0</v>
      </c>
      <c r="F32" s="315">
        <f>((X_Wheat!F32*0.2*F4)/1000)*'Farm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 t="shared" ref="B33:E33" si="1">(B4*B6*B7*B8)-(B4*B26)</f>
        <v>0</v>
      </c>
      <c r="C33" s="315">
        <f t="shared" si="1"/>
        <v>0</v>
      </c>
      <c r="D33" s="315">
        <f t="shared" si="1"/>
        <v>0</v>
      </c>
      <c r="E33" s="315">
        <f t="shared" si="1"/>
        <v>0</v>
      </c>
      <c r="F33" s="315">
        <f>(F4*F6*F7*F8)-(F4*F26)</f>
        <v>0</v>
      </c>
      <c r="G33" s="5"/>
      <c r="H33" s="315">
        <f t="shared" ref="H33:K33" si="2">(H4*H6*H7*H8)-(H4*H26)</f>
        <v>0</v>
      </c>
      <c r="I33" s="315">
        <f t="shared" si="2"/>
        <v>0</v>
      </c>
      <c r="J33" s="315">
        <f t="shared" si="2"/>
        <v>0</v>
      </c>
      <c r="K33" s="315">
        <f t="shared" si="2"/>
        <v>0</v>
      </c>
      <c r="L33" s="315">
        <f>(L4*L6*L7*L8)-(L4*L26)</f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 t="shared" ref="B34:E34" si="4">B4*(SUM(B11:B17))</f>
        <v>0</v>
      </c>
      <c r="C34" s="315">
        <f t="shared" si="4"/>
        <v>0</v>
      </c>
      <c r="D34" s="315">
        <f t="shared" si="4"/>
        <v>0</v>
      </c>
      <c r="E34" s="315">
        <f t="shared" si="4"/>
        <v>0</v>
      </c>
      <c r="F34" s="315">
        <f>F4*(SUM(F11:F17))</f>
        <v>0</v>
      </c>
      <c r="G34" s="5"/>
      <c r="H34" s="315">
        <f t="shared" ref="H34:K34" si="5">H4*(SUM(H11:H17))</f>
        <v>0</v>
      </c>
      <c r="I34" s="315">
        <f t="shared" si="5"/>
        <v>0</v>
      </c>
      <c r="J34" s="315">
        <f t="shared" si="5"/>
        <v>0</v>
      </c>
      <c r="K34" s="315">
        <f t="shared" si="5"/>
        <v>0</v>
      </c>
      <c r="L34" s="315">
        <f>L4*(SUM(L11:L17))</f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 t="shared" ref="B35:E35" si="6">B4*SUM(B11:B21)</f>
        <v>0</v>
      </c>
      <c r="C35" s="315">
        <f t="shared" si="6"/>
        <v>0</v>
      </c>
      <c r="D35" s="315">
        <f t="shared" si="6"/>
        <v>0</v>
      </c>
      <c r="E35" s="315">
        <f t="shared" si="6"/>
        <v>0</v>
      </c>
      <c r="F35" s="315">
        <f>F4*SUM(F11:F21)</f>
        <v>0</v>
      </c>
      <c r="G35" s="5"/>
      <c r="H35" s="315">
        <f t="shared" ref="H35:K35" si="7">H4*SUM(H11:H21)</f>
        <v>0</v>
      </c>
      <c r="I35" s="315">
        <f t="shared" si="7"/>
        <v>0</v>
      </c>
      <c r="J35" s="315">
        <f t="shared" si="7"/>
        <v>0</v>
      </c>
      <c r="K35" s="315">
        <f t="shared" si="7"/>
        <v>0</v>
      </c>
      <c r="L35" s="315">
        <f>L4*SUM(L11:L21)</f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 t="shared" ref="B36:E36" si="8">B4*(SUM(B11:B21)+SUM(B22:B25))</f>
        <v>0</v>
      </c>
      <c r="C36" s="315">
        <f t="shared" si="8"/>
        <v>0</v>
      </c>
      <c r="D36" s="315">
        <f t="shared" si="8"/>
        <v>0</v>
      </c>
      <c r="E36" s="315">
        <f t="shared" si="8"/>
        <v>0</v>
      </c>
      <c r="F36" s="315">
        <f>F4*(SUM(F11:F21)+SUM(F22:F25))</f>
        <v>0</v>
      </c>
      <c r="G36" s="5"/>
      <c r="H36" s="315">
        <f t="shared" ref="H36:K36" si="9">H4*(SUM(H11:H21)+SUM(H22:H25))</f>
        <v>0</v>
      </c>
      <c r="I36" s="315">
        <f t="shared" si="9"/>
        <v>0</v>
      </c>
      <c r="J36" s="315">
        <f t="shared" si="9"/>
        <v>0</v>
      </c>
      <c r="K36" s="315">
        <f t="shared" si="9"/>
        <v>0</v>
      </c>
      <c r="L36" s="315">
        <f>L4*(SUM(L11:L21)+SUM(L22:L25))</f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 t="shared" ref="B37:E37" si="10">B4*SUM(B28:B30)</f>
        <v>0</v>
      </c>
      <c r="C37" s="315">
        <f t="shared" si="10"/>
        <v>0</v>
      </c>
      <c r="D37" s="315">
        <f t="shared" si="10"/>
        <v>0</v>
      </c>
      <c r="E37" s="315">
        <f t="shared" si="10"/>
        <v>0</v>
      </c>
      <c r="F37" s="315">
        <f>F4*SUM(F28:F30)</f>
        <v>0</v>
      </c>
      <c r="G37" s="5"/>
      <c r="H37" s="315">
        <f t="shared" ref="H37:K37" si="11">H4*SUM(H28:H30)</f>
        <v>0</v>
      </c>
      <c r="I37" s="315">
        <f t="shared" si="11"/>
        <v>0</v>
      </c>
      <c r="J37" s="315">
        <f t="shared" si="11"/>
        <v>0</v>
      </c>
      <c r="K37" s="315">
        <f t="shared" si="11"/>
        <v>0</v>
      </c>
      <c r="L37" s="315">
        <f>L4*SUM(L28:L30)</f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 t="shared" ref="B38:E38" si="12">SUM(B36:B37)</f>
        <v>0</v>
      </c>
      <c r="C38" s="315">
        <f t="shared" si="12"/>
        <v>0</v>
      </c>
      <c r="D38" s="315">
        <f t="shared" si="12"/>
        <v>0</v>
      </c>
      <c r="E38" s="315">
        <f t="shared" si="12"/>
        <v>0</v>
      </c>
      <c r="F38" s="315">
        <f>SUM(F36:F37)</f>
        <v>0</v>
      </c>
      <c r="G38" s="5"/>
      <c r="H38" s="315">
        <f t="shared" ref="H38:K38" si="13">SUM(H36:H37)</f>
        <v>0</v>
      </c>
      <c r="I38" s="315">
        <f t="shared" si="13"/>
        <v>0</v>
      </c>
      <c r="J38" s="315">
        <f t="shared" si="13"/>
        <v>0</v>
      </c>
      <c r="K38" s="315">
        <f t="shared" si="13"/>
        <v>0</v>
      </c>
      <c r="L38" s="315">
        <f>SUM(L36:L37)</f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 t="shared" ref="B39:E39" si="14">(B4*B6*B7*B8)-(B4*B26)-B38</f>
        <v>0</v>
      </c>
      <c r="C39" s="577">
        <f t="shared" si="14"/>
        <v>0</v>
      </c>
      <c r="D39" s="577">
        <f t="shared" si="14"/>
        <v>0</v>
      </c>
      <c r="E39" s="577">
        <f t="shared" si="14"/>
        <v>0</v>
      </c>
      <c r="F39" s="577">
        <f>(F4*F6*F7*F8)-(F4*F26)-F38</f>
        <v>0</v>
      </c>
      <c r="G39" s="14"/>
      <c r="H39" s="577">
        <f t="shared" ref="H39:K39" si="15">(H4*H6*H7*H8)-(H4*H26)-H38</f>
        <v>0</v>
      </c>
      <c r="I39" s="577">
        <f t="shared" si="15"/>
        <v>0</v>
      </c>
      <c r="J39" s="577">
        <f t="shared" si="15"/>
        <v>0</v>
      </c>
      <c r="K39" s="577">
        <f t="shared" si="15"/>
        <v>0</v>
      </c>
      <c r="L39" s="577">
        <f>(L4*L6*L7*L8)-(L4*L26)-L38</f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07"/>
      <c r="J40" s="307"/>
      <c r="K40" s="307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 t="shared" ref="B41:E41" si="16">B20*B4</f>
        <v>0</v>
      </c>
      <c r="C41" s="315">
        <f t="shared" si="16"/>
        <v>0</v>
      </c>
      <c r="D41" s="315">
        <f t="shared" si="16"/>
        <v>0</v>
      </c>
      <c r="E41" s="315">
        <f t="shared" si="16"/>
        <v>0</v>
      </c>
      <c r="F41" s="315">
        <f>F20*F4</f>
        <v>0</v>
      </c>
      <c r="G41" s="2"/>
      <c r="H41" s="315">
        <f t="shared" ref="H41:K41" si="17">H20*H4</f>
        <v>0</v>
      </c>
      <c r="I41" s="307">
        <f t="shared" si="17"/>
        <v>0</v>
      </c>
      <c r="J41" s="307">
        <f t="shared" si="17"/>
        <v>0</v>
      </c>
      <c r="K41" s="307">
        <f t="shared" si="17"/>
        <v>0</v>
      </c>
      <c r="L41" s="315">
        <f>L20*L4</f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 t="shared" ref="B42:E42" si="18">B21*B4</f>
        <v>0</v>
      </c>
      <c r="C42" s="315">
        <f t="shared" si="18"/>
        <v>0</v>
      </c>
      <c r="D42" s="315">
        <f t="shared" si="18"/>
        <v>0</v>
      </c>
      <c r="E42" s="315">
        <f t="shared" si="18"/>
        <v>0</v>
      </c>
      <c r="F42" s="315">
        <f>F21*F4</f>
        <v>0</v>
      </c>
      <c r="G42" s="2"/>
      <c r="H42" s="315">
        <f t="shared" ref="H42:K42" si="19">H21*H4</f>
        <v>0</v>
      </c>
      <c r="I42" s="307">
        <f t="shared" si="19"/>
        <v>0</v>
      </c>
      <c r="J42" s="307">
        <f t="shared" si="19"/>
        <v>0</v>
      </c>
      <c r="K42" s="307">
        <f t="shared" si="19"/>
        <v>0</v>
      </c>
      <c r="L42" s="315">
        <f>L21*L4</f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 t="shared" ref="B43:E43" si="20">B4*B26</f>
        <v>0</v>
      </c>
      <c r="C43" s="307">
        <f t="shared" si="20"/>
        <v>0</v>
      </c>
      <c r="D43" s="307">
        <f t="shared" si="20"/>
        <v>0</v>
      </c>
      <c r="E43" s="307">
        <f t="shared" si="20"/>
        <v>0</v>
      </c>
      <c r="F43" s="307">
        <f>F4*F26</f>
        <v>0</v>
      </c>
      <c r="G43" s="2"/>
      <c r="H43" s="307">
        <f t="shared" ref="H43:K43" si="21">H4*H26</f>
        <v>0</v>
      </c>
      <c r="I43" s="307">
        <f t="shared" si="21"/>
        <v>0</v>
      </c>
      <c r="J43" s="307">
        <f t="shared" si="21"/>
        <v>0</v>
      </c>
      <c r="K43" s="307">
        <f t="shared" si="21"/>
        <v>0</v>
      </c>
      <c r="L43" s="307">
        <f>L4*L26</f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 t="shared" ref="B44:E44" si="22">B4*B6*B7</f>
        <v>0</v>
      </c>
      <c r="C44" s="315">
        <f t="shared" si="22"/>
        <v>0</v>
      </c>
      <c r="D44" s="315">
        <f t="shared" si="22"/>
        <v>0</v>
      </c>
      <c r="E44" s="315">
        <f t="shared" si="22"/>
        <v>0</v>
      </c>
      <c r="F44" s="315">
        <f>F4*F6*F7</f>
        <v>0</v>
      </c>
      <c r="G44" s="234"/>
      <c r="H44" s="315">
        <f t="shared" ref="H44:K44" si="23">H4*H6*H7</f>
        <v>0</v>
      </c>
      <c r="I44" s="307">
        <f t="shared" si="23"/>
        <v>0</v>
      </c>
      <c r="J44" s="307">
        <f t="shared" si="23"/>
        <v>0</v>
      </c>
      <c r="K44" s="307">
        <f t="shared" si="23"/>
        <v>0</v>
      </c>
      <c r="L44" s="315">
        <f>L4*L6*L7</f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9" x14ac:dyDescent="0.25">
      <c r="A1" s="564" t="s">
        <v>37</v>
      </c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x14ac:dyDescent="0.25">
      <c r="A2" s="35" t="s">
        <v>24</v>
      </c>
      <c r="B2" s="25" t="s">
        <v>23</v>
      </c>
      <c r="C2" s="25"/>
      <c r="D2" s="26" t="s">
        <v>26</v>
      </c>
      <c r="E2" s="26"/>
      <c r="F2" s="27" t="s">
        <v>28</v>
      </c>
      <c r="G2" s="29"/>
      <c r="H2" s="25" t="s">
        <v>23</v>
      </c>
      <c r="I2" s="25"/>
      <c r="J2" s="26" t="s">
        <v>26</v>
      </c>
      <c r="K2" s="26"/>
      <c r="L2" s="28" t="s">
        <v>28</v>
      </c>
      <c r="M2" s="431" t="s">
        <v>23</v>
      </c>
      <c r="N2" s="25"/>
      <c r="O2" s="26" t="s">
        <v>26</v>
      </c>
      <c r="P2" s="26"/>
      <c r="Q2" s="106" t="s">
        <v>28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27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27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0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342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343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IF(B$4&gt;0,X_Sorghum!B11,0)</f>
        <v>0</v>
      </c>
      <c r="C11" s="314">
        <f>IF(C$4&gt;0,X_Sorghum!C11,0)</f>
        <v>0</v>
      </c>
      <c r="D11" s="314">
        <f>IF(D$4&gt;0,X_Sorghum!D11,0)</f>
        <v>0</v>
      </c>
      <c r="E11" s="314">
        <f>IF(E$4&gt;0,X_Sorghum!E11,0)</f>
        <v>0</v>
      </c>
      <c r="F11" s="314">
        <f>IF(F$4&gt;0,X_Sorghum!F11,0)</f>
        <v>0</v>
      </c>
      <c r="G11" s="5"/>
      <c r="H11" s="314">
        <f>IF(H$4&gt;0,X_Sorghum!H11,0)*Sorghum!M11</f>
        <v>0</v>
      </c>
      <c r="I11" s="314">
        <f>IF(I$4&gt;0,X_Sorghum!I11,0)*Sorghum!N11</f>
        <v>0</v>
      </c>
      <c r="J11" s="314">
        <f>IF(J$4&gt;0,X_Sorghum!J11,0)*Sorghum!O11</f>
        <v>0</v>
      </c>
      <c r="K11" s="314">
        <f>IF(K$4&gt;0,X_Sorghum!K11,0)*Sorghum!P11</f>
        <v>0</v>
      </c>
      <c r="L11" s="314">
        <f>IF(L$4&gt;0,X_Sorghum!L11,0)*Sorghum!Q11</f>
        <v>0</v>
      </c>
      <c r="M11" s="439">
        <v>1</v>
      </c>
      <c r="N11" s="118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IF(B$4&gt;0,X_Sorghum!B12,0)</f>
        <v>0</v>
      </c>
      <c r="C12" s="314">
        <f>IF(C$4&gt;0,X_Sorghum!C12,0)</f>
        <v>0</v>
      </c>
      <c r="D12" s="314">
        <f>IF(D$4&gt;0,X_Sorghum!D12,0)</f>
        <v>0</v>
      </c>
      <c r="E12" s="314">
        <f>IF(E$4&gt;0,X_Sorghum!E12,0)</f>
        <v>0</v>
      </c>
      <c r="F12" s="314">
        <f>IF(F$4&gt;0,X_Sorghum!F12,0)</f>
        <v>0</v>
      </c>
      <c r="G12" s="5"/>
      <c r="H12" s="314">
        <f>IF(H$4&gt;0,X_Sorghum!H12,0)*Sorghum!M12</f>
        <v>0</v>
      </c>
      <c r="I12" s="314">
        <f>IF(I$4&gt;0,X_Sorghum!I12,0)*Sorghum!N12</f>
        <v>0</v>
      </c>
      <c r="J12" s="314">
        <f>IF(J$4&gt;0,X_Sorghum!J12,0)*Sorghum!O12</f>
        <v>0</v>
      </c>
      <c r="K12" s="314">
        <f>IF(K$4&gt;0,X_Sorghum!K12,0)*Sorghum!P12</f>
        <v>0</v>
      </c>
      <c r="L12" s="314">
        <f>IF(L$4&gt;0,X_Sorghum!L12,0)*Sorghum!Q12</f>
        <v>0</v>
      </c>
      <c r="M12" s="439">
        <v>1</v>
      </c>
      <c r="N12" s="118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IF(B$4&gt;0,X_Sorghum!B13,0)</f>
        <v>0</v>
      </c>
      <c r="C13" s="314">
        <f>IF(C$4&gt;0,X_Sorghum!C13,0)</f>
        <v>0</v>
      </c>
      <c r="D13" s="314">
        <f>IF(D$4&gt;0,X_Sorghum!D13,0)</f>
        <v>0</v>
      </c>
      <c r="E13" s="314">
        <f>IF(E$4&gt;0,X_Sorghum!E13,0)</f>
        <v>0</v>
      </c>
      <c r="F13" s="314">
        <f>IF(F$4&gt;0,X_Sorghum!F13,0)</f>
        <v>0</v>
      </c>
      <c r="G13" s="5"/>
      <c r="H13" s="314">
        <f>IF(H$4&gt;0,X_Sorghum!H13,0)*Sorghum!M13</f>
        <v>0</v>
      </c>
      <c r="I13" s="314">
        <f>IF(I$4&gt;0,X_Sorghum!I13,0)*Sorghum!N13</f>
        <v>0</v>
      </c>
      <c r="J13" s="314">
        <f>IF(J$4&gt;0,X_Sorghum!J13,0)*Sorghum!O13</f>
        <v>0</v>
      </c>
      <c r="K13" s="314">
        <f>IF(K$4&gt;0,X_Sorghum!K13,0)*Sorghum!P13</f>
        <v>0</v>
      </c>
      <c r="L13" s="314">
        <f>IF(L$4&gt;0,X_Sorghum!L13,0)*Sorghum!Q13</f>
        <v>0</v>
      </c>
      <c r="M13" s="439">
        <v>1</v>
      </c>
      <c r="N13" s="118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IF(B$4&gt;0,X_Sorghum!B14,0)</f>
        <v>0</v>
      </c>
      <c r="C14" s="314">
        <f>IF(C$4&gt;0,X_Sorghum!C14,0)</f>
        <v>0</v>
      </c>
      <c r="D14" s="314">
        <f>IF(D$4&gt;0,X_Sorghum!D14,0)</f>
        <v>0</v>
      </c>
      <c r="E14" s="314">
        <f>IF(E$4&gt;0,X_Sorghum!E14,0)</f>
        <v>0</v>
      </c>
      <c r="F14" s="314">
        <f>IF(F$4&gt;0,X_Sorghum!F14,0)</f>
        <v>0</v>
      </c>
      <c r="G14" s="5"/>
      <c r="H14" s="314">
        <f>IF(H$4&gt;0,X_Sorghum!H14,0)*Sorghum!M14</f>
        <v>0</v>
      </c>
      <c r="I14" s="314">
        <f>IF(I$4&gt;0,X_Sorghum!I14,0)*Sorghum!N14</f>
        <v>0</v>
      </c>
      <c r="J14" s="314">
        <f>IF(J$4&gt;0,X_Sorghum!J14,0)*Sorghum!O14</f>
        <v>0</v>
      </c>
      <c r="K14" s="314">
        <f>IF(K$4&gt;0,X_Sorghum!K14,0)*Sorghum!P14</f>
        <v>0</v>
      </c>
      <c r="L14" s="314">
        <f>IF(L$4&gt;0,X_Sorghum!L14,0)*Sorghum!Q14</f>
        <v>0</v>
      </c>
      <c r="M14" s="439">
        <v>1</v>
      </c>
      <c r="N14" s="118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IF(B$4&gt;0,X_Sorghum!B15,0)</f>
        <v>0</v>
      </c>
      <c r="C15" s="314">
        <f>IF(C$4&gt;0,X_Sorghum!C15,0)</f>
        <v>0</v>
      </c>
      <c r="D15" s="314">
        <f>IF(D$4&gt;0,X_Sorghum!D15,0)</f>
        <v>0</v>
      </c>
      <c r="E15" s="314">
        <f>IF(E$4&gt;0,X_Sorghum!E15,0)</f>
        <v>0</v>
      </c>
      <c r="F15" s="314">
        <f>IF(F$4&gt;0,X_Sorghum!F15,0)</f>
        <v>0</v>
      </c>
      <c r="G15" s="5"/>
      <c r="H15" s="314">
        <f>IF(H$4&gt;0,X_Sorghum!H15,0)*Sorghum!M15</f>
        <v>0</v>
      </c>
      <c r="I15" s="314">
        <f>IF(I$4&gt;0,X_Sorghum!I15,0)*Sorghum!N15</f>
        <v>0</v>
      </c>
      <c r="J15" s="314">
        <f>IF(J$4&gt;0,X_Sorghum!J15,0)*Sorghum!O15</f>
        <v>0</v>
      </c>
      <c r="K15" s="314">
        <f>IF(K$4&gt;0,X_Sorghum!K15,0)*Sorghum!P15</f>
        <v>0</v>
      </c>
      <c r="L15" s="314">
        <f>IF(L$4&gt;0,X_Sorghum!L15,0)*Sorghum!Q15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IF(B$4&gt;0,X_Sorghum!B16,0)</f>
        <v>0</v>
      </c>
      <c r="C16" s="314">
        <f>IF(C$4&gt;0,X_Sorghum!C16,0)</f>
        <v>0</v>
      </c>
      <c r="D16" s="314">
        <f>IF(D$4&gt;0,X_Sorghum!D16,0)</f>
        <v>0</v>
      </c>
      <c r="E16" s="314">
        <f>IF(E$4&gt;0,X_Sorghum!E16,0)</f>
        <v>0</v>
      </c>
      <c r="F16" s="314">
        <f>IF(F$4&gt;0,X_Sorghum!F16,0)</f>
        <v>0</v>
      </c>
      <c r="G16" s="5"/>
      <c r="H16" s="314">
        <f>IF(H$4&gt;0,X_Sorghum!H16,0)*Sorghum!M16</f>
        <v>0</v>
      </c>
      <c r="I16" s="314">
        <f>IF(I$4&gt;0,X_Sorghum!I16,0)*Sorghum!N16</f>
        <v>0</v>
      </c>
      <c r="J16" s="314">
        <f>IF(J$4&gt;0,X_Sorghum!J16,0)*Sorghum!O16</f>
        <v>0</v>
      </c>
      <c r="K16" s="314">
        <f>IF(K$4&gt;0,X_Sorghum!K16,0)*Sorghum!P16</f>
        <v>0</v>
      </c>
      <c r="L16" s="314">
        <f>IF(L$4&gt;0,X_Sorghum!L16,0)*Sorghum!Q16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IF(B$4&gt;0,X_Sorghum!B17,0)</f>
        <v>0</v>
      </c>
      <c r="C17" s="314">
        <f>IF(C$4&gt;0,X_Sorghum!C17,0)</f>
        <v>0</v>
      </c>
      <c r="D17" s="314">
        <f>IF(D$4&gt;0,X_Sorghum!D17,0)</f>
        <v>0</v>
      </c>
      <c r="E17" s="314">
        <f>IF(E$4&gt;0,X_Sorghum!E17,0)</f>
        <v>0</v>
      </c>
      <c r="F17" s="314">
        <f>IF(F$4&gt;0,X_Sorghum!F17,0)</f>
        <v>0</v>
      </c>
      <c r="G17" s="5"/>
      <c r="H17" s="314">
        <f>IF(H$4&gt;0,X_Sorghum!H17,0)*Sorghum!M17</f>
        <v>0</v>
      </c>
      <c r="I17" s="314">
        <f>IF(I$4&gt;0,X_Sorghum!I17,0)*Sorghum!N17</f>
        <v>0</v>
      </c>
      <c r="J17" s="314">
        <f>IF(J$4&gt;0,X_Sorghum!J17,0)*Sorghum!O17</f>
        <v>0</v>
      </c>
      <c r="K17" s="314">
        <f>IF(K$4&gt;0,X_Sorghum!K17,0)*Sorghum!P17</f>
        <v>0</v>
      </c>
      <c r="L17" s="314">
        <f>IF(L$4&gt;0,X_Sorghum!L17,0)*Sorghum!Q17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IF(B$4&gt;0,X_Sorghum!B18,0)</f>
        <v>0</v>
      </c>
      <c r="C18" s="314">
        <f>IF(C$4&gt;0,X_Sorghum!C18,0)</f>
        <v>0</v>
      </c>
      <c r="D18" s="314">
        <f>IF(D$4&gt;0,X_Sorghum!D18,0)</f>
        <v>0</v>
      </c>
      <c r="E18" s="314">
        <f>IF(E$4&gt;0,X_Sorghum!E18,0)</f>
        <v>0</v>
      </c>
      <c r="F18" s="314">
        <f>IF(F$4&gt;0,X_Sorghum!F18,0)</f>
        <v>0</v>
      </c>
      <c r="G18" s="5"/>
      <c r="H18" s="314">
        <f>IF(H$4&gt;0,X_Sorghum!H18,0)*Sorghum!M18</f>
        <v>0</v>
      </c>
      <c r="I18" s="314">
        <f>IF(I$4&gt;0,X_Sorghum!I18,0)*Sorghum!N18</f>
        <v>0</v>
      </c>
      <c r="J18" s="314">
        <f>IF(J$4&gt;0,X_Sorghum!J18,0)*Sorghum!O18</f>
        <v>0</v>
      </c>
      <c r="K18" s="314">
        <f>IF(K$4&gt;0,X_Sorghum!K18,0)*Sorghum!P18</f>
        <v>0</v>
      </c>
      <c r="L18" s="314">
        <f>IF(L$4&gt;0,X_Sorghum!L18,0)*Sorghum!Q18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IF(B$4&gt;0,X_Sorghum!B19,0)</f>
        <v>0</v>
      </c>
      <c r="C19" s="314">
        <f>IF(C$4&gt;0,X_Sorghum!C19,0)</f>
        <v>0</v>
      </c>
      <c r="D19" s="314">
        <f>IF(D$4&gt;0,X_Sorghum!D19,0)</f>
        <v>0</v>
      </c>
      <c r="E19" s="314">
        <f>IF(E$4&gt;0,X_Sorghum!E19,0)</f>
        <v>0</v>
      </c>
      <c r="F19" s="314">
        <f>IF(F$4&gt;0,X_Sorghum!F19,0)</f>
        <v>0</v>
      </c>
      <c r="G19" s="5"/>
      <c r="H19" s="314">
        <f>IF(H$4&gt;0,X_Sorghum!H19,0)*Sorghum!M19</f>
        <v>0</v>
      </c>
      <c r="I19" s="314">
        <f>IF(I$4&gt;0,X_Sorghum!I19,0)*Sorghum!N19</f>
        <v>0</v>
      </c>
      <c r="J19" s="314">
        <f>IF(J$4&gt;0,X_Sorghum!J19,0)*Sorghum!O19</f>
        <v>0</v>
      </c>
      <c r="K19" s="314">
        <f>IF(K$4&gt;0,X_Sorghum!K19,0)*Sorghum!P19</f>
        <v>0</v>
      </c>
      <c r="L19" s="314">
        <f>IF(L$4&gt;0,X_Sorghum!L19,0)*Sorghum!Q19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IF(B$4&gt;0,X_Sorghum!B20,0)</f>
        <v>0</v>
      </c>
      <c r="C20" s="314">
        <f>IF(C$4&gt;0,X_Sorghum!C20,0)</f>
        <v>0</v>
      </c>
      <c r="D20" s="314">
        <f>IF(D$4&gt;0,X_Sorghum!D20,0)</f>
        <v>0</v>
      </c>
      <c r="E20" s="314">
        <f>IF(E$4&gt;0,X_Sorghum!E20,0)</f>
        <v>0</v>
      </c>
      <c r="F20" s="314">
        <f>IF(F$4&gt;0,X_Sorghum!F20,0)</f>
        <v>0</v>
      </c>
      <c r="G20" s="5"/>
      <c r="H20" s="314">
        <f>IF(H$4&gt;0,X_Sorghum!H20,0)*Sorghum!M20</f>
        <v>0</v>
      </c>
      <c r="I20" s="314">
        <f>IF(I$4&gt;0,X_Sorghum!I20,0)*Sorghum!N20</f>
        <v>0</v>
      </c>
      <c r="J20" s="314">
        <f>IF(J$4&gt;0,X_Sorghum!J20,0)*Sorghum!O20</f>
        <v>0</v>
      </c>
      <c r="K20" s="314">
        <f>IF(K$4&gt;0,X_Sorghum!K20,0)*Sorghum!P20</f>
        <v>0</v>
      </c>
      <c r="L20" s="314">
        <f>IF(L$4&gt;0,X_Sorghum!L20,0)*Sorghum!Q20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IF(B$4&gt;0,X_Sorghum!B21,0)</f>
        <v>0</v>
      </c>
      <c r="C21" s="314">
        <f>IF(C$4&gt;0,X_Sorghum!C21,0)</f>
        <v>0</v>
      </c>
      <c r="D21" s="314">
        <f>IF(D$4&gt;0,X_Sorghum!D21,0)</f>
        <v>0</v>
      </c>
      <c r="E21" s="314">
        <f>IF(E$4&gt;0,X_Sorghum!E21,0)</f>
        <v>0</v>
      </c>
      <c r="F21" s="314">
        <f>IF(F$4&gt;0,X_Sorghum!F21,0)</f>
        <v>0</v>
      </c>
      <c r="G21" s="5"/>
      <c r="H21" s="314">
        <f>IF(H$4&gt;0,X_Sorghum!H21,0)*Sorghum!M21</f>
        <v>0</v>
      </c>
      <c r="I21" s="314">
        <f>IF(I$4&gt;0,X_Sorghum!I21,0)*Sorghum!N21</f>
        <v>0</v>
      </c>
      <c r="J21" s="314">
        <f>IF(J$4&gt;0,X_Sorghum!J21,0)*Sorghum!O21</f>
        <v>0</v>
      </c>
      <c r="K21" s="314">
        <f>IF(K$4&gt;0,X_Sorghum!K21,0)*Sorghum!P21</f>
        <v>0</v>
      </c>
      <c r="L21" s="314">
        <f>IF(L$4&gt;0,X_Sorghum!L21,0)*Sorghum!Q21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IF(B$4&gt;0,X_Sorghum!B23,0)</f>
        <v>0</v>
      </c>
      <c r="C23" s="314">
        <f>IF(C$4&gt;0,X_Sorghum!C23,0)</f>
        <v>0</v>
      </c>
      <c r="D23" s="314">
        <f>IF(D$4&gt;0,X_Sorghum!D23,0)</f>
        <v>0</v>
      </c>
      <c r="E23" s="314">
        <f>IF(E$4&gt;0,X_Sorghum!E23,0)</f>
        <v>0</v>
      </c>
      <c r="F23" s="314">
        <f>IF(F$4&gt;0,X_Sorghum!F23,0)</f>
        <v>0</v>
      </c>
      <c r="G23" s="5"/>
      <c r="H23" s="314">
        <f>IF(H$4&gt;0,X_Sorghum!H23,0)*Sorghum!M23</f>
        <v>0</v>
      </c>
      <c r="I23" s="314">
        <f>IF(I$4&gt;0,X_Sorghum!I23,0)*Sorghum!N23</f>
        <v>0</v>
      </c>
      <c r="J23" s="314">
        <f>IF(J$4&gt;0,X_Sorghum!J23,0)*Sorghum!O23</f>
        <v>0</v>
      </c>
      <c r="K23" s="314">
        <f>IF(K$4&gt;0,X_Sorghum!K23,0)*Sorghum!P23</f>
        <v>0</v>
      </c>
      <c r="L23" s="314">
        <f>IF(L$4&gt;0,X_Sorghum!L23,0)*Sorghum!Q23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IF(B$4&gt;0,(X_Sorghum!B24/X_Sorghum!B$6)*B$6,0)</f>
        <v>0</v>
      </c>
      <c r="C24" s="314">
        <f>IF(C$4&gt;0,(X_Sorghum!C24/X_Sorghum!C$6)*C$6,0)</f>
        <v>0</v>
      </c>
      <c r="D24" s="314">
        <f>IF(D$4&gt;0,(X_Sorghum!D24/X_Sorghum!D$6)*D$6,0)</f>
        <v>0</v>
      </c>
      <c r="E24" s="314">
        <f>IF(E$4&gt;0,(X_Sorghum!E24/X_Sorghum!E$6)*E$6,0)</f>
        <v>0</v>
      </c>
      <c r="F24" s="314">
        <f>IF(F$4&gt;0,(X_Sorghum!F24/X_Sorghum!F$6)*F$6,0)</f>
        <v>0</v>
      </c>
      <c r="G24" s="5"/>
      <c r="H24" s="314">
        <f>IF(H$4&gt;0,(X_Sorghum!H24/X_Sorghum!H$6)*H$6,0)*Sorghum!M24</f>
        <v>0</v>
      </c>
      <c r="I24" s="314">
        <f>IF(I$4&gt;0,(X_Sorghum!I24/X_Sorghum!I$6)*I$6,0)*Sorghum!N24</f>
        <v>0</v>
      </c>
      <c r="J24" s="314">
        <f>IF(J$4&gt;0,(X_Sorghum!J24/X_Sorghum!J$6)*J$6,0)*Sorghum!O24</f>
        <v>0</v>
      </c>
      <c r="K24" s="314">
        <f>IF(K$4&gt;0,(X_Sorghum!K24/X_Sorghum!K$6)*K$6,0)*Sorghum!P24</f>
        <v>0</v>
      </c>
      <c r="L24" s="314">
        <f>IF(L$4&gt;0,(X_Sorghum!L24/X_Sorghum!L$6)*L$6,0)*Sorghum!Q24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IF(B$4&gt;0,0.01*B$6,0)</f>
        <v>0</v>
      </c>
      <c r="C25" s="314">
        <f t="shared" ref="C25:F25" si="0">IF(C$4&gt;0,0.01*C$6,0)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IF(H$4&gt;0,0.01*H$6,0)*Sorghum!M25</f>
        <v>0</v>
      </c>
      <c r="I25" s="314">
        <f>IF(I$4&gt;0,0.01*I$6,0)*Sorghum!N25</f>
        <v>0</v>
      </c>
      <c r="J25" s="314">
        <f>IF(J$4&gt;0,0.01*J$6,0)*Sorghum!O25</f>
        <v>0</v>
      </c>
      <c r="K25" s="314">
        <f>IF(K$4&gt;0,0.01*K$6,0)*Sorghum!P25</f>
        <v>0</v>
      </c>
      <c r="L25" s="314">
        <f>IF(L$4&gt;0,0.01*L$6,0)*Sorghum!Q25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IF(B$4&gt;0,X_Sorghum!B26,0)</f>
        <v>0</v>
      </c>
      <c r="C26" s="191">
        <f>IF(C$4&gt;0,X_Sorghum!C26,0)</f>
        <v>0</v>
      </c>
      <c r="D26" s="191">
        <f>IF(D$4&gt;0,X_Sorghum!D26,0)</f>
        <v>0</v>
      </c>
      <c r="E26" s="191">
        <f>IF(E$4&gt;0,X_Sorghum!E26,0)</f>
        <v>0</v>
      </c>
      <c r="F26" s="191">
        <f>IF(F$4&gt;0,X_Sorghum!F26,0)</f>
        <v>0</v>
      </c>
      <c r="G26" s="5"/>
      <c r="H26" s="270">
        <f>IF(H$4&gt;0,X_Sorghum!H26,0)</f>
        <v>0</v>
      </c>
      <c r="I26" s="270">
        <f>IF(I$4&gt;0,X_Sorghum!I26,0)</f>
        <v>0</v>
      </c>
      <c r="J26" s="562">
        <f>IF(J$4&gt;0,X_Sorghum!J26,0)</f>
        <v>0</v>
      </c>
      <c r="K26" s="562">
        <f>IF(K$4&gt;0,X_Sorghum!K26,0)</f>
        <v>0</v>
      </c>
      <c r="L26" s="563">
        <f>IF(L$4&gt;0,X_Sorghum!L26,0)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IF(B$4&gt;0,X_Sorghum!B28,0)</f>
        <v>0</v>
      </c>
      <c r="C28" s="314">
        <f>IF(C$4&gt;0,X_Sorghum!C28,0)</f>
        <v>0</v>
      </c>
      <c r="D28" s="314">
        <f>IF(D$4&gt;0,X_Sorghum!D28,0)</f>
        <v>0</v>
      </c>
      <c r="E28" s="314">
        <f>IF(E$4&gt;0,X_Sorghum!E28,0)</f>
        <v>0</v>
      </c>
      <c r="F28" s="314">
        <f>IF(F$4&gt;0,X_Sorghum!F28,0)</f>
        <v>0</v>
      </c>
      <c r="G28" s="5"/>
      <c r="H28" s="314">
        <f>IF(H$4&gt;0,X_Sorghum!H28,0)</f>
        <v>0</v>
      </c>
      <c r="I28" s="314">
        <f>IF(I$4&gt;0,X_Sorghum!I28,0)</f>
        <v>0</v>
      </c>
      <c r="J28" s="314">
        <f>IF(J$4&gt;0,X_Sorghum!J28,0)</f>
        <v>0</v>
      </c>
      <c r="K28" s="314">
        <f>IF(K$4&gt;0,X_Sorghum!K28,0)</f>
        <v>0</v>
      </c>
      <c r="L28" s="314">
        <f>IF(L$4&gt;0,X_Sorghum!L28,0)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IF(B$4&gt;0,X_Sorghum!B29,0)</f>
        <v>0</v>
      </c>
      <c r="C29" s="314">
        <f>IF(C$4&gt;0,X_Sorghum!C29,0)</f>
        <v>0</v>
      </c>
      <c r="D29" s="314">
        <f>IF(D$4&gt;0,X_Sorghum!D29,0)</f>
        <v>0</v>
      </c>
      <c r="E29" s="314">
        <f>IF(E$4&gt;0,X_Sorghum!E29,0)</f>
        <v>0</v>
      </c>
      <c r="F29" s="314">
        <f>IF(F$4&gt;0,X_Sorghum!F29,0)</f>
        <v>0</v>
      </c>
      <c r="G29" s="5"/>
      <c r="H29" s="314">
        <f>IF(H$4&gt;0,X_Sorghum!H29,0)</f>
        <v>0</v>
      </c>
      <c r="I29" s="314">
        <f>IF(I$4&gt;0,X_Sorghum!I29,0)</f>
        <v>0</v>
      </c>
      <c r="J29" s="314">
        <f>IF(J$4&gt;0,X_Sorghum!J29,0)</f>
        <v>0</v>
      </c>
      <c r="K29" s="314">
        <f>IF(K$4&gt;0,X_Sorghum!K29,0)</f>
        <v>0</v>
      </c>
      <c r="L29" s="314">
        <f>IF(L$4&gt;0,X_Sorghum!L29,0)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IF(B$4&gt;0,X_Sorghum!B30,0)</f>
        <v>0</v>
      </c>
      <c r="C30" s="314">
        <f>IF(C$4&gt;0,X_Sorghum!C30,0)</f>
        <v>0</v>
      </c>
      <c r="D30" s="314">
        <f>IF(D$4&gt;0,X_Sorghum!D30,0)</f>
        <v>0</v>
      </c>
      <c r="E30" s="314">
        <f>IF(E$4&gt;0,X_Sorghum!E30,0)</f>
        <v>0</v>
      </c>
      <c r="F30" s="314">
        <f>IF(F$4&gt;0,X_Sorghum!F30,0)</f>
        <v>0</v>
      </c>
      <c r="G30" s="5"/>
      <c r="H30" s="314">
        <f>IF(H$4&gt;0,X_Sorghum!H30,0)</f>
        <v>0</v>
      </c>
      <c r="I30" s="314">
        <f>IF(I$4&gt;0,X_Sorghum!I30,0)</f>
        <v>0</v>
      </c>
      <c r="J30" s="314">
        <f>IF(J$4&gt;0,X_Sorghum!J30,0)</f>
        <v>0</v>
      </c>
      <c r="K30" s="314">
        <f>IF(K$4&gt;0,X_Sorghum!K30,0)</f>
        <v>0</v>
      </c>
      <c r="L30" s="314">
        <f>IF(L$4&gt;0,X_Sorghum!L30,0)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((X_Sorghum!B32*0.2*B4)/1000)*'Farm Costs &amp; Returns'!$I$13</f>
        <v>0</v>
      </c>
      <c r="C32" s="315">
        <f>((X_Sorghum!C32*0.2*C4)/1000)*'Farm Costs &amp; Returns'!$I$13</f>
        <v>0</v>
      </c>
      <c r="D32" s="315">
        <f>((X_Sorghum!D32*0.2*D4)/1000)*'Farm Costs &amp; Returns'!$I$13</f>
        <v>0</v>
      </c>
      <c r="E32" s="315">
        <f>((X_Sorghum!E32*0.2*E4)/1000)*'Farm Costs &amp; Returns'!$I$13</f>
        <v>0</v>
      </c>
      <c r="F32" s="315">
        <f>((X_Sorghum!F32*0.2*F4)/1000)*'Farm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B4*(SUM(B11:B21)+SUM(B22:B25))</f>
        <v>0</v>
      </c>
      <c r="C36" s="315">
        <f t="shared" ref="C36:F36" si="8">C4*(SUM(C11:C21)+SUM(C22:C25))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H4*(SUM(H11:H21)+SUM(H22:H25))</f>
        <v>0</v>
      </c>
      <c r="I36" s="315">
        <f t="shared" ref="I36:L36" si="9">I4*(SUM(I11:I21)+SUM(I22:I25))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>B4*B6*B7</f>
        <v>0</v>
      </c>
      <c r="C44" s="315">
        <f t="shared" ref="C44:F44" si="22">C4*C6*C7</f>
        <v>0</v>
      </c>
      <c r="D44" s="315">
        <f t="shared" si="22"/>
        <v>0</v>
      </c>
      <c r="E44" s="315">
        <f t="shared" si="22"/>
        <v>0</v>
      </c>
      <c r="F44" s="315">
        <f t="shared" si="22"/>
        <v>0</v>
      </c>
      <c r="G44" s="234"/>
      <c r="H44" s="315">
        <f>H4*H6*H7</f>
        <v>0</v>
      </c>
      <c r="I44" s="315">
        <f t="shared" ref="I44:L44" si="23">I4*I6*I7</f>
        <v>0</v>
      </c>
      <c r="J44" s="315">
        <f t="shared" si="23"/>
        <v>0</v>
      </c>
      <c r="K44" s="315">
        <f t="shared" si="23"/>
        <v>0</v>
      </c>
      <c r="L44" s="315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9" x14ac:dyDescent="0.25">
      <c r="A1" s="564" t="s">
        <v>338</v>
      </c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x14ac:dyDescent="0.25">
      <c r="A2" s="35" t="s">
        <v>24</v>
      </c>
      <c r="B2" s="25" t="s">
        <v>23</v>
      </c>
      <c r="C2" s="25"/>
      <c r="D2" s="26" t="s">
        <v>26</v>
      </c>
      <c r="E2" s="26"/>
      <c r="F2" s="27" t="s">
        <v>28</v>
      </c>
      <c r="G2" s="29"/>
      <c r="H2" s="25" t="s">
        <v>23</v>
      </c>
      <c r="I2" s="25"/>
      <c r="J2" s="26" t="s">
        <v>26</v>
      </c>
      <c r="K2" s="26"/>
      <c r="L2" s="28" t="s">
        <v>28</v>
      </c>
      <c r="M2" s="431" t="s">
        <v>23</v>
      </c>
      <c r="N2" s="25"/>
      <c r="O2" s="26" t="s">
        <v>26</v>
      </c>
      <c r="P2" s="26"/>
      <c r="Q2" s="106" t="s">
        <v>28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27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27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0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304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305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IF(B$4&gt;0,X_Peanut!B11,0)</f>
        <v>0</v>
      </c>
      <c r="C11" s="314">
        <f>IF(C$4&gt;0,X_Peanut!C11,0)</f>
        <v>0</v>
      </c>
      <c r="D11" s="314">
        <f>IF(D$4&gt;0,X_Peanut!D11,0)</f>
        <v>0</v>
      </c>
      <c r="E11" s="314">
        <f>IF(E$4&gt;0,X_Peanut!E11,0)</f>
        <v>0</v>
      </c>
      <c r="F11" s="314">
        <f>IF(F$4&gt;0,X_Peanut!F11,0)</f>
        <v>0</v>
      </c>
      <c r="G11" s="5"/>
      <c r="H11" s="314">
        <f>IF(H$4&gt;0,X_Peanut!H11,0)*Peanut!M11</f>
        <v>0</v>
      </c>
      <c r="I11" s="314">
        <f>IF(I$4&gt;0,X_Peanut!I11,0)*Peanut!N11</f>
        <v>0</v>
      </c>
      <c r="J11" s="314">
        <f>IF(J$4&gt;0,X_Peanut!J11,0)*Peanut!O11</f>
        <v>0</v>
      </c>
      <c r="K11" s="314">
        <f>IF(K$4&gt;0,X_Peanut!K11,0)*Peanut!P11</f>
        <v>0</v>
      </c>
      <c r="L11" s="314">
        <f>IF(L$4&gt;0,X_Peanut!L11,0)*Peanut!Q11</f>
        <v>0</v>
      </c>
      <c r="M11" s="439">
        <v>1</v>
      </c>
      <c r="N11" s="118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IF(B$4&gt;0,X_Peanut!B12,0)</f>
        <v>0</v>
      </c>
      <c r="C12" s="314">
        <f>IF(C$4&gt;0,X_Peanut!C12,0)</f>
        <v>0</v>
      </c>
      <c r="D12" s="314">
        <f>IF(D$4&gt;0,X_Peanut!D12,0)</f>
        <v>0</v>
      </c>
      <c r="E12" s="314">
        <f>IF(E$4&gt;0,X_Peanut!E12,0)</f>
        <v>0</v>
      </c>
      <c r="F12" s="314">
        <f>IF(F$4&gt;0,X_Peanut!F12,0)</f>
        <v>0</v>
      </c>
      <c r="G12" s="5"/>
      <c r="H12" s="314">
        <f>IF(H$4&gt;0,X_Peanut!H12,0)*Peanut!M12</f>
        <v>0</v>
      </c>
      <c r="I12" s="314">
        <f>IF(I$4&gt;0,X_Peanut!I12,0)*Peanut!N12</f>
        <v>0</v>
      </c>
      <c r="J12" s="314">
        <f>IF(J$4&gt;0,X_Peanut!J12,0)*Peanut!O12</f>
        <v>0</v>
      </c>
      <c r="K12" s="314">
        <f>IF(K$4&gt;0,X_Peanut!K12,0)*Peanut!P12</f>
        <v>0</v>
      </c>
      <c r="L12" s="314">
        <f>IF(L$4&gt;0,X_Peanut!L12,0)*Peanut!Q12</f>
        <v>0</v>
      </c>
      <c r="M12" s="439">
        <v>1</v>
      </c>
      <c r="N12" s="118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IF(B$4&gt;0,X_Peanut!B13,0)</f>
        <v>0</v>
      </c>
      <c r="C13" s="314">
        <f>IF(C$4&gt;0,X_Peanut!C13,0)</f>
        <v>0</v>
      </c>
      <c r="D13" s="314">
        <f>IF(D$4&gt;0,X_Peanut!D13,0)</f>
        <v>0</v>
      </c>
      <c r="E13" s="314">
        <f>IF(E$4&gt;0,X_Peanut!E13,0)</f>
        <v>0</v>
      </c>
      <c r="F13" s="314">
        <f>IF(F$4&gt;0,X_Peanut!F13,0)</f>
        <v>0</v>
      </c>
      <c r="G13" s="5"/>
      <c r="H13" s="314">
        <f>IF(H$4&gt;0,X_Peanut!H13,0)*Peanut!M13</f>
        <v>0</v>
      </c>
      <c r="I13" s="314">
        <f>IF(I$4&gt;0,X_Peanut!I13,0)*Peanut!N13</f>
        <v>0</v>
      </c>
      <c r="J13" s="314">
        <f>IF(J$4&gt;0,X_Peanut!J13,0)*Peanut!O13</f>
        <v>0</v>
      </c>
      <c r="K13" s="314">
        <f>IF(K$4&gt;0,X_Peanut!K13,0)*Peanut!P13</f>
        <v>0</v>
      </c>
      <c r="L13" s="314">
        <f>IF(L$4&gt;0,X_Peanut!L13,0)*Peanut!Q13</f>
        <v>0</v>
      </c>
      <c r="M13" s="439">
        <v>1</v>
      </c>
      <c r="N13" s="118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IF(B$4&gt;0,X_Peanut!B14,0)</f>
        <v>0</v>
      </c>
      <c r="C14" s="314">
        <f>IF(C$4&gt;0,X_Peanut!C14,0)</f>
        <v>0</v>
      </c>
      <c r="D14" s="314">
        <f>IF(D$4&gt;0,X_Peanut!D14,0)</f>
        <v>0</v>
      </c>
      <c r="E14" s="314">
        <f>IF(E$4&gt;0,X_Peanut!E14,0)</f>
        <v>0</v>
      </c>
      <c r="F14" s="314">
        <f>IF(F$4&gt;0,X_Peanut!F14,0)</f>
        <v>0</v>
      </c>
      <c r="G14" s="5"/>
      <c r="H14" s="314">
        <f>IF(H$4&gt;0,X_Peanut!H14,0)*Peanut!M14</f>
        <v>0</v>
      </c>
      <c r="I14" s="314">
        <f>IF(I$4&gt;0,X_Peanut!I14,0)*Peanut!N14</f>
        <v>0</v>
      </c>
      <c r="J14" s="314">
        <f>IF(J$4&gt;0,X_Peanut!J14,0)*Peanut!O14</f>
        <v>0</v>
      </c>
      <c r="K14" s="314">
        <f>IF(K$4&gt;0,X_Peanut!K14,0)*Peanut!P14</f>
        <v>0</v>
      </c>
      <c r="L14" s="314">
        <f>IF(L$4&gt;0,X_Peanut!L14,0)*Peanut!Q14</f>
        <v>0</v>
      </c>
      <c r="M14" s="439">
        <v>1</v>
      </c>
      <c r="N14" s="118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IF(B$4&gt;0,X_Peanut!B15,0)</f>
        <v>0</v>
      </c>
      <c r="C15" s="314">
        <f>IF(C$4&gt;0,X_Peanut!C15,0)</f>
        <v>0</v>
      </c>
      <c r="D15" s="314">
        <f>IF(D$4&gt;0,X_Peanut!D15,0)</f>
        <v>0</v>
      </c>
      <c r="E15" s="314">
        <f>IF(E$4&gt;0,X_Peanut!E15,0)</f>
        <v>0</v>
      </c>
      <c r="F15" s="314">
        <f>IF(F$4&gt;0,X_Peanut!F15,0)</f>
        <v>0</v>
      </c>
      <c r="G15" s="5"/>
      <c r="H15" s="314">
        <f>IF(H$4&gt;0,X_Peanut!H15,0)*Peanut!M15</f>
        <v>0</v>
      </c>
      <c r="I15" s="314">
        <f>IF(I$4&gt;0,X_Peanut!I15,0)*Peanut!N15</f>
        <v>0</v>
      </c>
      <c r="J15" s="314">
        <f>IF(J$4&gt;0,X_Peanut!J15,0)*Peanut!O15</f>
        <v>0</v>
      </c>
      <c r="K15" s="314">
        <f>IF(K$4&gt;0,X_Peanut!K15,0)*Peanut!P15</f>
        <v>0</v>
      </c>
      <c r="L15" s="314">
        <f>IF(L$4&gt;0,X_Peanut!L15,0)*Peanut!Q15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IF(B$4&gt;0,X_Peanut!B16,0)</f>
        <v>0</v>
      </c>
      <c r="C16" s="314">
        <f>IF(C$4&gt;0,X_Peanut!C16,0)</f>
        <v>0</v>
      </c>
      <c r="D16" s="314">
        <f>IF(D$4&gt;0,X_Peanut!D16,0)</f>
        <v>0</v>
      </c>
      <c r="E16" s="314">
        <f>IF(E$4&gt;0,X_Peanut!E16,0)</f>
        <v>0</v>
      </c>
      <c r="F16" s="314">
        <f>IF(F$4&gt;0,X_Peanut!F16,0)</f>
        <v>0</v>
      </c>
      <c r="G16" s="5"/>
      <c r="H16" s="314">
        <f>IF(H$4&gt;0,X_Peanut!H16,0)*Peanut!M16</f>
        <v>0</v>
      </c>
      <c r="I16" s="314">
        <f>IF(I$4&gt;0,X_Peanut!I16,0)*Peanut!N16</f>
        <v>0</v>
      </c>
      <c r="J16" s="314">
        <f>IF(J$4&gt;0,X_Peanut!J16,0)*Peanut!O16</f>
        <v>0</v>
      </c>
      <c r="K16" s="314">
        <f>IF(K$4&gt;0,X_Peanut!K16,0)*Peanut!P16</f>
        <v>0</v>
      </c>
      <c r="L16" s="314">
        <f>IF(L$4&gt;0,X_Peanut!L16,0)*Peanut!Q16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IF(B$4&gt;0,X_Peanut!B17,0)</f>
        <v>0</v>
      </c>
      <c r="C17" s="314">
        <f>IF(C$4&gt;0,X_Peanut!C17,0)</f>
        <v>0</v>
      </c>
      <c r="D17" s="314">
        <f>IF(D$4&gt;0,X_Peanut!D17,0)</f>
        <v>0</v>
      </c>
      <c r="E17" s="314">
        <f>IF(E$4&gt;0,X_Peanut!E17,0)</f>
        <v>0</v>
      </c>
      <c r="F17" s="314">
        <f>IF(F$4&gt;0,X_Peanut!F17,0)</f>
        <v>0</v>
      </c>
      <c r="G17" s="5"/>
      <c r="H17" s="314">
        <f>IF(H$4&gt;0,X_Peanut!H17,0)*Peanut!M17</f>
        <v>0</v>
      </c>
      <c r="I17" s="314">
        <f>IF(I$4&gt;0,X_Peanut!I17,0)*Peanut!N17</f>
        <v>0</v>
      </c>
      <c r="J17" s="314">
        <f>IF(J$4&gt;0,X_Peanut!J17,0)*Peanut!O17</f>
        <v>0</v>
      </c>
      <c r="K17" s="314">
        <f>IF(K$4&gt;0,X_Peanut!K17,0)*Peanut!P17</f>
        <v>0</v>
      </c>
      <c r="L17" s="314">
        <f>IF(L$4&gt;0,X_Peanut!L17,0)*Peanut!Q17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IF(B$4&gt;0,X_Peanut!B18,0)</f>
        <v>0</v>
      </c>
      <c r="C18" s="314">
        <f>IF(C$4&gt;0,X_Peanut!C18,0)</f>
        <v>0</v>
      </c>
      <c r="D18" s="314">
        <f>IF(D$4&gt;0,X_Peanut!D18,0)</f>
        <v>0</v>
      </c>
      <c r="E18" s="314">
        <f>IF(E$4&gt;0,X_Peanut!E18,0)</f>
        <v>0</v>
      </c>
      <c r="F18" s="314">
        <f>IF(F$4&gt;0,X_Peanut!F18,0)</f>
        <v>0</v>
      </c>
      <c r="G18" s="5"/>
      <c r="H18" s="314">
        <f>IF(H$4&gt;0,X_Peanut!H18,0)*Peanut!M18</f>
        <v>0</v>
      </c>
      <c r="I18" s="314">
        <f>IF(I$4&gt;0,X_Peanut!I18,0)*Peanut!N18</f>
        <v>0</v>
      </c>
      <c r="J18" s="314">
        <f>IF(J$4&gt;0,X_Peanut!J18,0)*Peanut!O18</f>
        <v>0</v>
      </c>
      <c r="K18" s="314">
        <f>IF(K$4&gt;0,X_Peanut!K18,0)*Peanut!P18</f>
        <v>0</v>
      </c>
      <c r="L18" s="314">
        <f>IF(L$4&gt;0,X_Peanut!L18,0)*Peanut!Q18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IF(B$4&gt;0,X_Peanut!B19,0)</f>
        <v>0</v>
      </c>
      <c r="C19" s="314">
        <f>IF(C$4&gt;0,X_Peanut!C19,0)</f>
        <v>0</v>
      </c>
      <c r="D19" s="314">
        <f>IF(D$4&gt;0,X_Peanut!D19,0)</f>
        <v>0</v>
      </c>
      <c r="E19" s="314">
        <f>IF(E$4&gt;0,X_Peanut!E19,0)</f>
        <v>0</v>
      </c>
      <c r="F19" s="314">
        <f>IF(F$4&gt;0,X_Peanut!F19,0)</f>
        <v>0</v>
      </c>
      <c r="G19" s="5"/>
      <c r="H19" s="314">
        <f>IF(H$4&gt;0,X_Peanut!H19,0)*Peanut!M19</f>
        <v>0</v>
      </c>
      <c r="I19" s="314">
        <f>IF(I$4&gt;0,X_Peanut!I19,0)*Peanut!N19</f>
        <v>0</v>
      </c>
      <c r="J19" s="314">
        <f>IF(J$4&gt;0,X_Peanut!J19,0)*Peanut!O19</f>
        <v>0</v>
      </c>
      <c r="K19" s="314">
        <f>IF(K$4&gt;0,X_Peanut!K19,0)*Peanut!P19</f>
        <v>0</v>
      </c>
      <c r="L19" s="314">
        <f>IF(L$4&gt;0,X_Peanut!L19,0)*Peanut!Q19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IF(B$4&gt;0,X_Peanut!B20,0)</f>
        <v>0</v>
      </c>
      <c r="C20" s="314">
        <f>IF(C$4&gt;0,X_Peanut!C20,0)</f>
        <v>0</v>
      </c>
      <c r="D20" s="314">
        <f>IF(D$4&gt;0,X_Peanut!D20,0)</f>
        <v>0</v>
      </c>
      <c r="E20" s="314">
        <f>IF(E$4&gt;0,X_Peanut!E20,0)</f>
        <v>0</v>
      </c>
      <c r="F20" s="314">
        <f>IF(F$4&gt;0,X_Peanut!F20,0)</f>
        <v>0</v>
      </c>
      <c r="G20" s="5"/>
      <c r="H20" s="314">
        <f>IF(H$4&gt;0,X_Peanut!H20,0)*Peanut!M20</f>
        <v>0</v>
      </c>
      <c r="I20" s="314">
        <f>IF(I$4&gt;0,X_Peanut!I20,0)*Peanut!N20</f>
        <v>0</v>
      </c>
      <c r="J20" s="314">
        <f>IF(J$4&gt;0,X_Peanut!J20,0)*Peanut!O20</f>
        <v>0</v>
      </c>
      <c r="K20" s="314">
        <f>IF(K$4&gt;0,X_Peanut!K20,0)*Peanut!P20</f>
        <v>0</v>
      </c>
      <c r="L20" s="314">
        <f>IF(L$4&gt;0,X_Peanut!L20,0)*Peanut!Q20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IF(B$4&gt;0,X_Peanut!B21,0)</f>
        <v>0</v>
      </c>
      <c r="C21" s="314">
        <f>IF(C$4&gt;0,X_Peanut!C21,0)</f>
        <v>0</v>
      </c>
      <c r="D21" s="314">
        <f>IF(D$4&gt;0,X_Peanut!D21,0)</f>
        <v>0</v>
      </c>
      <c r="E21" s="314">
        <f>IF(E$4&gt;0,X_Peanut!E21,0)</f>
        <v>0</v>
      </c>
      <c r="F21" s="314">
        <f>IF(F$4&gt;0,X_Peanut!F21,0)</f>
        <v>0</v>
      </c>
      <c r="G21" s="5"/>
      <c r="H21" s="314">
        <f>IF(H$4&gt;0,X_Peanut!H21,0)*Peanut!M21</f>
        <v>0</v>
      </c>
      <c r="I21" s="314">
        <f>IF(I$4&gt;0,X_Peanut!I21,0)*Peanut!N21</f>
        <v>0</v>
      </c>
      <c r="J21" s="314">
        <f>IF(J$4&gt;0,X_Peanut!J21,0)*Peanut!O21</f>
        <v>0</v>
      </c>
      <c r="K21" s="314">
        <f>IF(K$4&gt;0,X_Peanut!K21,0)*Peanut!P21</f>
        <v>0</v>
      </c>
      <c r="L21" s="314">
        <f>IF(L$4&gt;0,X_Peanut!L21,0)*Peanut!Q21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IF(B$4&gt;0,X_Peanut!B23,0)</f>
        <v>0</v>
      </c>
      <c r="C23" s="314">
        <f>IF(C$4&gt;0,X_Peanut!C23,0)</f>
        <v>0</v>
      </c>
      <c r="D23" s="314">
        <f>IF(D$4&gt;0,X_Peanut!D23,0)</f>
        <v>0</v>
      </c>
      <c r="E23" s="314">
        <f>IF(E$4&gt;0,X_Peanut!E23,0)</f>
        <v>0</v>
      </c>
      <c r="F23" s="314">
        <f>IF(F$4&gt;0,X_Peanut!F23,0)</f>
        <v>0</v>
      </c>
      <c r="G23" s="5"/>
      <c r="H23" s="314">
        <f>IF(H$4&gt;0,X_Peanut!H23,0)*Peanut!M23</f>
        <v>0</v>
      </c>
      <c r="I23" s="314">
        <f>IF(I$4&gt;0,X_Peanut!I23,0)*Peanut!N23</f>
        <v>0</v>
      </c>
      <c r="J23" s="314">
        <f>IF(J$4&gt;0,X_Peanut!J23,0)*Peanut!O23</f>
        <v>0</v>
      </c>
      <c r="K23" s="314">
        <f>IF(K$4&gt;0,X_Peanut!K23,0)*Peanut!P23</f>
        <v>0</v>
      </c>
      <c r="L23" s="314">
        <f>IF(L$4&gt;0,X_Peanut!L23,0)*Peanut!Q23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IF(B$4&gt;0,(X_Peanut!B24/X_Peanut!B$6)*B$6,0)</f>
        <v>0</v>
      </c>
      <c r="C24" s="314">
        <f>IF(C$4&gt;0,(X_Peanut!C24/X_Peanut!C$6)*C$6,0)</f>
        <v>0</v>
      </c>
      <c r="D24" s="314">
        <f>IF(D$4&gt;0,(X_Peanut!D24/X_Peanut!D$6)*D$6,0)</f>
        <v>0</v>
      </c>
      <c r="E24" s="314">
        <f>IF(E$4&gt;0,(X_Peanut!E24/X_Peanut!E$6)*E$6,0)</f>
        <v>0</v>
      </c>
      <c r="F24" s="314">
        <f>IF(F$4&gt;0,(X_Peanut!F24/X_Peanut!F$6)*F$6,0)</f>
        <v>0</v>
      </c>
      <c r="G24" s="5"/>
      <c r="H24" s="314">
        <f>IF(H$4&gt;0,(X_Peanut!H24/X_Peanut!H$6)*H$6,0)*Peanut!M24</f>
        <v>0</v>
      </c>
      <c r="I24" s="314">
        <f>IF(I$4&gt;0,(X_Peanut!I24/X_Peanut!I$6)*I$6,0)*Peanut!N24</f>
        <v>0</v>
      </c>
      <c r="J24" s="314">
        <f>IF(J$4&gt;0,(X_Peanut!J24/X_Peanut!J$6)*J$6,0)*Peanut!O24</f>
        <v>0</v>
      </c>
      <c r="K24" s="314">
        <f>IF(K$4&gt;0,(X_Peanut!K24/X_Peanut!K$6)*K$6,0)*Peanut!P24</f>
        <v>0</v>
      </c>
      <c r="L24" s="314">
        <f>IF(L$4&gt;0,(X_Peanut!L24/X_Peanut!L$6)*L$6,0)*Peanut!Q24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IF(B$4&gt;0,355*0.01*B$6,0)</f>
        <v>0</v>
      </c>
      <c r="C25" s="314">
        <f t="shared" ref="C25:F25" si="0">IF(C$4&gt;0,355*0.01*C$6,0)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IF(H$4&gt;0,355*0.01*H$6,0)*Peanut!M25</f>
        <v>0</v>
      </c>
      <c r="I25" s="314">
        <f>IF(I$4&gt;0,355*0.01*I$6,0)*Peanut!N25</f>
        <v>0</v>
      </c>
      <c r="J25" s="314">
        <f>IF(J$4&gt;0,355*0.01*J$6,0)*Peanut!O25</f>
        <v>0</v>
      </c>
      <c r="K25" s="314">
        <f>IF(K$4&gt;0,355*0.01*K$6,0)*Peanut!P25</f>
        <v>0</v>
      </c>
      <c r="L25" s="314">
        <f>IF(L$4&gt;0,355*0.01*L$6,0)*Peanut!Q25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IF(B$4&gt;0,X_Peanut!B26,0)</f>
        <v>0</v>
      </c>
      <c r="C26" s="191">
        <f>IF(C$4&gt;0,X_Peanut!C26,0)</f>
        <v>0</v>
      </c>
      <c r="D26" s="191">
        <f>IF(D$4&gt;0,X_Peanut!D26,0)</f>
        <v>0</v>
      </c>
      <c r="E26" s="191">
        <f>IF(E$4&gt;0,X_Peanut!E26,0)</f>
        <v>0</v>
      </c>
      <c r="F26" s="191">
        <f>IF(F$4&gt;0,X_Peanut!F26,0)</f>
        <v>0</v>
      </c>
      <c r="G26" s="5"/>
      <c r="H26" s="270">
        <f>IF(H$4&gt;0,X_Peanut!H26,0)</f>
        <v>0</v>
      </c>
      <c r="I26" s="270">
        <f>IF(I$4&gt;0,X_Peanut!I26,0)</f>
        <v>0</v>
      </c>
      <c r="J26" s="562">
        <f>IF(J$4&gt;0,X_Peanut!J26,0)</f>
        <v>0</v>
      </c>
      <c r="K26" s="562">
        <f>IF(K$4&gt;0,X_Peanut!K26,0)</f>
        <v>0</v>
      </c>
      <c r="L26" s="563">
        <f>IF(L$4&gt;0,X_Peanut!L26,0)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IF(B$4&gt;0,X_Peanut!B28,0)</f>
        <v>0</v>
      </c>
      <c r="C28" s="314">
        <f>IF(C$4&gt;0,X_Peanut!C28,0)</f>
        <v>0</v>
      </c>
      <c r="D28" s="314">
        <f>IF(D$4&gt;0,X_Peanut!D28,0)</f>
        <v>0</v>
      </c>
      <c r="E28" s="314">
        <f>IF(E$4&gt;0,X_Peanut!E28,0)</f>
        <v>0</v>
      </c>
      <c r="F28" s="314">
        <f>IF(F$4&gt;0,X_Peanut!F28,0)</f>
        <v>0</v>
      </c>
      <c r="G28" s="5"/>
      <c r="H28" s="314">
        <f>IF(H$4&gt;0,X_Peanut!H28,0)</f>
        <v>0</v>
      </c>
      <c r="I28" s="314">
        <f>IF(I$4&gt;0,X_Peanut!I28,0)</f>
        <v>0</v>
      </c>
      <c r="J28" s="314">
        <f>IF(J$4&gt;0,X_Peanut!J28,0)</f>
        <v>0</v>
      </c>
      <c r="K28" s="314">
        <f>IF(K$4&gt;0,X_Peanut!K28,0)</f>
        <v>0</v>
      </c>
      <c r="L28" s="314">
        <f>IF(L$4&gt;0,X_Peanut!L28,0)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IF(B$4&gt;0,X_Peanut!B29,0)</f>
        <v>0</v>
      </c>
      <c r="C29" s="314">
        <f>IF(C$4&gt;0,X_Peanut!C29,0)</f>
        <v>0</v>
      </c>
      <c r="D29" s="314">
        <f>IF(D$4&gt;0,X_Peanut!D29,0)</f>
        <v>0</v>
      </c>
      <c r="E29" s="314">
        <f>IF(E$4&gt;0,X_Peanut!E29,0)</f>
        <v>0</v>
      </c>
      <c r="F29" s="314">
        <f>IF(F$4&gt;0,X_Peanut!F29,0)</f>
        <v>0</v>
      </c>
      <c r="G29" s="5"/>
      <c r="H29" s="314">
        <f>IF(H$4&gt;0,X_Peanut!H29,0)</f>
        <v>0</v>
      </c>
      <c r="I29" s="314">
        <f>IF(I$4&gt;0,X_Peanut!I29,0)</f>
        <v>0</v>
      </c>
      <c r="J29" s="314">
        <f>IF(J$4&gt;0,X_Peanut!J29,0)</f>
        <v>0</v>
      </c>
      <c r="K29" s="314">
        <f>IF(K$4&gt;0,X_Peanut!K29,0)</f>
        <v>0</v>
      </c>
      <c r="L29" s="314">
        <f>IF(L$4&gt;0,X_Peanut!L29,0)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IF(B$4&gt;0,X_Peanut!B30,0)</f>
        <v>0</v>
      </c>
      <c r="C30" s="314">
        <f>IF(C$4&gt;0,X_Peanut!C30,0)</f>
        <v>0</v>
      </c>
      <c r="D30" s="314">
        <f>IF(D$4&gt;0,X_Peanut!D30,0)</f>
        <v>0</v>
      </c>
      <c r="E30" s="314">
        <f>IF(E$4&gt;0,X_Peanut!E30,0)</f>
        <v>0</v>
      </c>
      <c r="F30" s="314">
        <f>IF(F$4&gt;0,X_Peanut!F30,0)</f>
        <v>0</v>
      </c>
      <c r="G30" s="5"/>
      <c r="H30" s="314">
        <f>IF(H$4&gt;0,X_Peanut!H30,0)</f>
        <v>0</v>
      </c>
      <c r="I30" s="314">
        <f>IF(I$4&gt;0,X_Peanut!I30,0)</f>
        <v>0</v>
      </c>
      <c r="J30" s="314">
        <f>IF(J$4&gt;0,X_Peanut!J30,0)</f>
        <v>0</v>
      </c>
      <c r="K30" s="314">
        <f>IF(K$4&gt;0,X_Peanut!K30,0)</f>
        <v>0</v>
      </c>
      <c r="L30" s="314">
        <f>IF(L$4&gt;0,X_Peanut!L30,0)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((X_Peanut!B32*0.2*B4)/1000)*'Farm Costs &amp; Returns'!$I$13</f>
        <v>0</v>
      </c>
      <c r="C32" s="315">
        <f>((X_Peanut!C32*0.2*C4)/1000)*'Farm Costs &amp; Returns'!$I$13</f>
        <v>0</v>
      </c>
      <c r="D32" s="315">
        <f>((X_Peanut!D32*0.2*D4)/1000)*'Farm Costs &amp; Returns'!$I$13</f>
        <v>0</v>
      </c>
      <c r="E32" s="315">
        <f>((X_Peanut!E32*0.2*E4)/1000)*'Farm Costs &amp; Returns'!$I$13</f>
        <v>0</v>
      </c>
      <c r="F32" s="315">
        <f>((X_Peanut!F32*0.2*F4)/1000)*'Farm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B4*(SUM(B11:B21)+SUM(B22:B25))</f>
        <v>0</v>
      </c>
      <c r="C36" s="315">
        <f t="shared" ref="C36:F36" si="8">C4*(SUM(C11:C21)+SUM(C22:C25))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H4*(SUM(H11:H21)+SUM(H22:H25))</f>
        <v>0</v>
      </c>
      <c r="I36" s="315">
        <f t="shared" ref="I36:L36" si="9">I4*(SUM(I11:I21)+SUM(I22:I25))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>B4*B6*B7</f>
        <v>0</v>
      </c>
      <c r="C44" s="315">
        <f t="shared" ref="C44:F44" si="22">C4*C6*C7</f>
        <v>0</v>
      </c>
      <c r="D44" s="315">
        <f t="shared" si="22"/>
        <v>0</v>
      </c>
      <c r="E44" s="315">
        <f t="shared" si="22"/>
        <v>0</v>
      </c>
      <c r="F44" s="315">
        <f t="shared" si="22"/>
        <v>0</v>
      </c>
      <c r="G44" s="234"/>
      <c r="H44" s="315">
        <f>H4*H6*H7</f>
        <v>0</v>
      </c>
      <c r="I44" s="315">
        <f t="shared" ref="I44:L44" si="23">I4*I6*I7</f>
        <v>0</v>
      </c>
      <c r="J44" s="315">
        <f t="shared" si="23"/>
        <v>0</v>
      </c>
      <c r="K44" s="315">
        <f t="shared" si="23"/>
        <v>0</v>
      </c>
      <c r="L44" s="315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48"/>
  <sheetViews>
    <sheetView workbookViewId="0">
      <selection activeCell="B6" sqref="B6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ht="12.75" customHeight="1" x14ac:dyDescent="0.25">
      <c r="A1" s="583" t="s">
        <v>34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104"/>
      <c r="M1" s="421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x14ac:dyDescent="0.25">
      <c r="A2" s="44" t="s">
        <v>24</v>
      </c>
      <c r="B2" s="68" t="s">
        <v>23</v>
      </c>
      <c r="C2" s="25"/>
      <c r="D2" s="26" t="s">
        <v>26</v>
      </c>
      <c r="E2" s="26"/>
      <c r="F2" s="28" t="s">
        <v>28</v>
      </c>
      <c r="G2" s="29"/>
      <c r="H2" s="25" t="s">
        <v>23</v>
      </c>
      <c r="I2" s="25"/>
      <c r="J2" s="26" t="s">
        <v>26</v>
      </c>
      <c r="K2" s="26"/>
      <c r="L2" s="27" t="s">
        <v>28</v>
      </c>
      <c r="M2" s="88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70" t="s">
        <v>27</v>
      </c>
      <c r="M3" s="88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9">
        <v>1</v>
      </c>
      <c r="M4" s="88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72"/>
      <c r="M5" s="88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>
        <v>1200</v>
      </c>
      <c r="C6" s="33">
        <v>1200</v>
      </c>
      <c r="D6" s="33">
        <v>1200</v>
      </c>
      <c r="E6" s="33">
        <v>1200</v>
      </c>
      <c r="F6" s="33">
        <v>800</v>
      </c>
      <c r="G6" s="4"/>
      <c r="H6" s="33">
        <v>1200</v>
      </c>
      <c r="I6" s="33">
        <v>1200</v>
      </c>
      <c r="J6" s="33">
        <v>1200</v>
      </c>
      <c r="K6" s="33">
        <v>1200</v>
      </c>
      <c r="L6" s="33">
        <v>800</v>
      </c>
      <c r="M6" s="88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>
        <v>0.65</v>
      </c>
      <c r="C7" s="24">
        <v>0.65</v>
      </c>
      <c r="D7" s="24">
        <v>0.65</v>
      </c>
      <c r="E7" s="24">
        <v>0.65</v>
      </c>
      <c r="F7" s="24">
        <v>0.65</v>
      </c>
      <c r="G7" s="5"/>
      <c r="H7" s="24">
        <v>0.65</v>
      </c>
      <c r="I7" s="24">
        <v>0.65</v>
      </c>
      <c r="J7" s="24">
        <v>0.65</v>
      </c>
      <c r="K7" s="24">
        <v>0.65</v>
      </c>
      <c r="L7" s="24">
        <v>0.65</v>
      </c>
      <c r="M7" s="88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58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23">
        <v>0.75</v>
      </c>
      <c r="M8" s="88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8" x14ac:dyDescent="0.25">
      <c r="A9" s="49" t="s">
        <v>159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5"/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88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122" t="s">
        <v>59</v>
      </c>
      <c r="B10" s="123"/>
      <c r="C10" s="124"/>
      <c r="D10" s="124"/>
      <c r="E10" s="124"/>
      <c r="F10" s="124"/>
      <c r="G10" s="5"/>
      <c r="H10" s="125"/>
      <c r="I10" s="124"/>
      <c r="J10" s="124"/>
      <c r="K10" s="124"/>
      <c r="L10" s="126"/>
      <c r="M10" s="88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111.625</v>
      </c>
      <c r="C11" s="553">
        <v>111.625</v>
      </c>
      <c r="D11" s="553">
        <v>111.625</v>
      </c>
      <c r="E11" s="553">
        <v>111.625</v>
      </c>
      <c r="F11" s="553">
        <v>111.625</v>
      </c>
      <c r="G11" s="5"/>
      <c r="H11" s="553">
        <v>111.625</v>
      </c>
      <c r="I11" s="553">
        <v>111.625</v>
      </c>
      <c r="J11" s="553">
        <v>111.625</v>
      </c>
      <c r="K11" s="553">
        <v>111.625</v>
      </c>
      <c r="L11" s="553">
        <v>111.625</v>
      </c>
      <c r="M11" s="88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123.2825</v>
      </c>
      <c r="C12" s="553">
        <v>123.2825</v>
      </c>
      <c r="D12" s="553">
        <v>123.2825</v>
      </c>
      <c r="E12" s="553">
        <v>123.2825</v>
      </c>
      <c r="F12" s="553">
        <v>87.72</v>
      </c>
      <c r="G12" s="5"/>
      <c r="H12" s="553">
        <v>123.2825</v>
      </c>
      <c r="I12" s="553">
        <v>123.2825</v>
      </c>
      <c r="J12" s="553">
        <v>123.2825</v>
      </c>
      <c r="K12" s="553">
        <v>123.2825</v>
      </c>
      <c r="L12" s="553">
        <v>87.72</v>
      </c>
      <c r="M12" s="88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227.28325000000001</v>
      </c>
      <c r="C13" s="553">
        <v>227.28325000000001</v>
      </c>
      <c r="D13" s="553">
        <v>227.28325000000001</v>
      </c>
      <c r="E13" s="553">
        <v>227.28325000000001</v>
      </c>
      <c r="F13" s="553">
        <v>203.37075000000002</v>
      </c>
      <c r="G13" s="5"/>
      <c r="H13" s="553">
        <v>227.28325000000001</v>
      </c>
      <c r="I13" s="553">
        <v>227.28325000000001</v>
      </c>
      <c r="J13" s="553">
        <v>227.28325000000001</v>
      </c>
      <c r="K13" s="553">
        <v>227.28325000000001</v>
      </c>
      <c r="L13" s="553">
        <v>203.37075000000002</v>
      </c>
      <c r="M13" s="88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124</v>
      </c>
      <c r="C14" s="553">
        <v>124</v>
      </c>
      <c r="D14" s="553">
        <v>124</v>
      </c>
      <c r="E14" s="553">
        <v>124</v>
      </c>
      <c r="F14" s="553">
        <v>105</v>
      </c>
      <c r="G14" s="5"/>
      <c r="H14" s="553">
        <v>124</v>
      </c>
      <c r="I14" s="553">
        <v>124</v>
      </c>
      <c r="J14" s="553">
        <v>124</v>
      </c>
      <c r="K14" s="553">
        <v>124</v>
      </c>
      <c r="L14" s="553">
        <v>105</v>
      </c>
      <c r="M14" s="88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24">
        <v>35.85</v>
      </c>
      <c r="C15" s="24">
        <v>35.85</v>
      </c>
      <c r="D15" s="24">
        <v>19.600000000000001</v>
      </c>
      <c r="E15" s="24">
        <v>19.600000000000001</v>
      </c>
      <c r="F15" s="24">
        <v>8.73</v>
      </c>
      <c r="G15" s="5"/>
      <c r="H15" s="24">
        <v>35.85</v>
      </c>
      <c r="I15" s="24">
        <v>35.85</v>
      </c>
      <c r="J15" s="24">
        <v>19.600000000000001</v>
      </c>
      <c r="K15" s="24">
        <v>19.600000000000001</v>
      </c>
      <c r="L15" s="24">
        <v>8.73</v>
      </c>
      <c r="M15" s="88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553">
        <v>18.390908384000326</v>
      </c>
      <c r="C16" s="24">
        <v>18.39</v>
      </c>
      <c r="D16" s="553">
        <v>16.215849862633533</v>
      </c>
      <c r="E16" s="24">
        <v>16.22</v>
      </c>
      <c r="F16" s="24">
        <v>16.22</v>
      </c>
      <c r="G16" s="5"/>
      <c r="H16" s="24">
        <v>18.39</v>
      </c>
      <c r="I16" s="24">
        <v>18.39</v>
      </c>
      <c r="J16" s="553">
        <v>16.215849862633533</v>
      </c>
      <c r="K16" s="24">
        <v>16.22</v>
      </c>
      <c r="L16" s="24">
        <v>16.22</v>
      </c>
      <c r="M16" s="88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553">
        <v>39.686004210526313</v>
      </c>
      <c r="C17" s="24">
        <v>31.16</v>
      </c>
      <c r="D17" s="553">
        <v>60.283747368421054</v>
      </c>
      <c r="E17" s="24">
        <v>47.34</v>
      </c>
      <c r="F17" s="24">
        <v>0</v>
      </c>
      <c r="G17" s="5"/>
      <c r="H17" s="24">
        <v>39.69</v>
      </c>
      <c r="I17" s="24">
        <v>31.16</v>
      </c>
      <c r="J17" s="553">
        <v>60.283747368421054</v>
      </c>
      <c r="K17" s="24">
        <v>47.34</v>
      </c>
      <c r="L17" s="24">
        <v>0</v>
      </c>
      <c r="M17" s="88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553">
        <v>14</v>
      </c>
      <c r="C18" s="553">
        <v>14</v>
      </c>
      <c r="D18" s="553">
        <v>14</v>
      </c>
      <c r="E18" s="553">
        <v>14</v>
      </c>
      <c r="F18" s="24">
        <v>14</v>
      </c>
      <c r="G18" s="5"/>
      <c r="H18" s="553">
        <v>14</v>
      </c>
      <c r="I18" s="553">
        <v>14</v>
      </c>
      <c r="J18" s="553">
        <v>14</v>
      </c>
      <c r="K18" s="553">
        <v>14</v>
      </c>
      <c r="L18" s="24">
        <v>14</v>
      </c>
      <c r="M18" s="88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553">
        <v>28</v>
      </c>
      <c r="C19" s="553">
        <v>28</v>
      </c>
      <c r="D19" s="553">
        <v>28</v>
      </c>
      <c r="E19" s="553">
        <v>28</v>
      </c>
      <c r="F19" s="24">
        <v>35</v>
      </c>
      <c r="G19" s="5"/>
      <c r="H19" s="553">
        <v>28</v>
      </c>
      <c r="I19" s="553">
        <v>28</v>
      </c>
      <c r="J19" s="553">
        <v>28</v>
      </c>
      <c r="K19" s="553">
        <v>28</v>
      </c>
      <c r="L19" s="24">
        <v>35</v>
      </c>
      <c r="M19" s="88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553">
        <v>28.84734733883873</v>
      </c>
      <c r="C20" s="24">
        <v>27.33</v>
      </c>
      <c r="D20" s="24">
        <v>35.44</v>
      </c>
      <c r="E20" s="24">
        <v>32.14</v>
      </c>
      <c r="F20" s="24">
        <v>24.99</v>
      </c>
      <c r="G20" s="5"/>
      <c r="H20" s="24">
        <v>27.2</v>
      </c>
      <c r="I20" s="24">
        <v>25.68</v>
      </c>
      <c r="J20" s="24">
        <v>28.29</v>
      </c>
      <c r="K20" s="24">
        <v>24.99</v>
      </c>
      <c r="L20" s="24">
        <v>24.99</v>
      </c>
      <c r="M20" s="88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553">
        <v>9.7010551382162209</v>
      </c>
      <c r="C21" s="24">
        <v>9.6999999999999993</v>
      </c>
      <c r="D21" s="24">
        <v>7.67</v>
      </c>
      <c r="E21" s="24">
        <v>7.67</v>
      </c>
      <c r="F21" s="24">
        <v>6.28</v>
      </c>
      <c r="G21" s="5"/>
      <c r="H21" s="24">
        <v>9.6999999999999993</v>
      </c>
      <c r="I21" s="24">
        <v>9.6999999999999993</v>
      </c>
      <c r="J21" s="24">
        <v>7.67</v>
      </c>
      <c r="K21" s="24">
        <v>7.67</v>
      </c>
      <c r="L21" s="24">
        <v>6.28</v>
      </c>
      <c r="M21" s="88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34.229999999999997</v>
      </c>
      <c r="C22" s="24">
        <v>33.78</v>
      </c>
      <c r="D22" s="24">
        <v>34.53</v>
      </c>
      <c r="E22" s="24">
        <v>33.799999999999997</v>
      </c>
      <c r="F22" s="24">
        <v>27.58</v>
      </c>
      <c r="G22" s="5"/>
      <c r="H22" s="24">
        <v>34.159999999999997</v>
      </c>
      <c r="I22" s="24">
        <v>33.700000000000003</v>
      </c>
      <c r="J22" s="24">
        <v>34.21</v>
      </c>
      <c r="K22" s="24">
        <v>33.479999999999997</v>
      </c>
      <c r="L22" s="24">
        <v>27.58</v>
      </c>
      <c r="M22" s="88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/>
      <c r="C23" s="24"/>
      <c r="D23" s="24"/>
      <c r="E23" s="24"/>
      <c r="F23" s="24"/>
      <c r="G23" s="5"/>
      <c r="H23" s="24"/>
      <c r="I23" s="24"/>
      <c r="J23" s="24"/>
      <c r="K23" s="24"/>
      <c r="L23" s="24"/>
      <c r="M23" s="88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5"/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88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11.58</v>
      </c>
      <c r="C25" s="24">
        <v>11.58</v>
      </c>
      <c r="D25" s="24">
        <v>11.58</v>
      </c>
      <c r="E25" s="24">
        <v>11.58</v>
      </c>
      <c r="F25" s="24">
        <v>7.72</v>
      </c>
      <c r="G25" s="5"/>
      <c r="H25" s="24">
        <v>11.58</v>
      </c>
      <c r="I25" s="24">
        <v>11.58</v>
      </c>
      <c r="J25" s="24">
        <v>11.58</v>
      </c>
      <c r="K25" s="24">
        <v>11.58</v>
      </c>
      <c r="L25" s="24">
        <v>7.72</v>
      </c>
      <c r="M25" s="88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/>
      <c r="C26" s="24"/>
      <c r="D26" s="24"/>
      <c r="E26" s="24"/>
      <c r="F26" s="24"/>
      <c r="G26" s="5"/>
      <c r="H26" s="24">
        <v>0</v>
      </c>
      <c r="I26" s="24"/>
      <c r="J26" s="24"/>
      <c r="K26" s="24"/>
      <c r="L26" s="24"/>
      <c r="M26" s="88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76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145.54</v>
      </c>
      <c r="C28" s="24">
        <v>145.54</v>
      </c>
      <c r="D28" s="24">
        <v>135.81</v>
      </c>
      <c r="E28" s="24">
        <v>135.81</v>
      </c>
      <c r="F28" s="24">
        <v>135.81</v>
      </c>
      <c r="G28" s="5"/>
      <c r="H28" s="24">
        <v>145.54</v>
      </c>
      <c r="I28" s="24">
        <v>145.54</v>
      </c>
      <c r="J28" s="24">
        <v>135.81</v>
      </c>
      <c r="K28" s="24">
        <v>135.81</v>
      </c>
      <c r="L28" s="24">
        <v>135.81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28.14</v>
      </c>
      <c r="C29" s="24">
        <v>17.77</v>
      </c>
      <c r="D29" s="24">
        <v>105.52</v>
      </c>
      <c r="E29" s="24">
        <v>83.01</v>
      </c>
      <c r="F29" s="24">
        <v>0</v>
      </c>
      <c r="G29" s="5"/>
      <c r="H29" s="24">
        <v>10.37</v>
      </c>
      <c r="I29" s="24">
        <v>0</v>
      </c>
      <c r="J29" s="24">
        <v>22.51</v>
      </c>
      <c r="K29" s="24">
        <v>0</v>
      </c>
      <c r="L29" s="24">
        <v>0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7.28</v>
      </c>
      <c r="C30" s="24">
        <v>7.28</v>
      </c>
      <c r="D30" s="24">
        <v>6.79</v>
      </c>
      <c r="E30" s="24">
        <v>6.79</v>
      </c>
      <c r="F30" s="24">
        <v>6.79</v>
      </c>
      <c r="G30" s="56"/>
      <c r="H30" s="24">
        <v>7.28</v>
      </c>
      <c r="I30" s="24">
        <v>7.28</v>
      </c>
      <c r="J30" s="24">
        <v>6.79</v>
      </c>
      <c r="K30" s="24">
        <v>6.79</v>
      </c>
      <c r="L30" s="24">
        <v>6.79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9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>(B4*B6*B7*B8)-B26</f>
        <v>780</v>
      </c>
      <c r="C33" s="399">
        <f t="shared" ref="C33:F33" si="0">(C4*C6*C7*C8)-C26</f>
        <v>780</v>
      </c>
      <c r="D33" s="399">
        <f t="shared" si="0"/>
        <v>780</v>
      </c>
      <c r="E33" s="399">
        <f t="shared" si="0"/>
        <v>780</v>
      </c>
      <c r="F33" s="399">
        <f t="shared" si="0"/>
        <v>520</v>
      </c>
      <c r="G33" s="400"/>
      <c r="H33" s="399">
        <f>(H4*H6*H7*H8)-H26</f>
        <v>585</v>
      </c>
      <c r="I33" s="399">
        <f t="shared" ref="I33:L33" si="1">(I4*I6*I7*I8)-I26</f>
        <v>585</v>
      </c>
      <c r="J33" s="399">
        <f t="shared" si="1"/>
        <v>585</v>
      </c>
      <c r="K33" s="399">
        <f t="shared" si="1"/>
        <v>585</v>
      </c>
      <c r="L33" s="399">
        <f t="shared" si="1"/>
        <v>390</v>
      </c>
      <c r="M33" s="115">
        <f t="shared" ref="M33:M38" si="2">SUM(B33:F33)+SUM(H33:L33)</f>
        <v>6370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680.11766259452668</v>
      </c>
      <c r="C34" s="96">
        <f t="shared" ref="C34:F34" si="3">C4*(SUM(C11:C17))</f>
        <v>671.59074999999996</v>
      </c>
      <c r="D34" s="96">
        <f t="shared" si="3"/>
        <v>682.29034723105451</v>
      </c>
      <c r="E34" s="96">
        <f t="shared" si="3"/>
        <v>669.35075000000006</v>
      </c>
      <c r="F34" s="96">
        <f t="shared" si="3"/>
        <v>532.66575</v>
      </c>
      <c r="G34" s="3"/>
      <c r="H34" s="96">
        <f>H4*(SUM(H11:H17))</f>
        <v>680.12075000000004</v>
      </c>
      <c r="I34" s="96">
        <f t="shared" ref="I34:L34" si="4">I4*(SUM(I11:I17))</f>
        <v>671.59074999999996</v>
      </c>
      <c r="J34" s="96">
        <f t="shared" si="4"/>
        <v>682.29034723105451</v>
      </c>
      <c r="K34" s="96">
        <f t="shared" si="4"/>
        <v>669.35075000000006</v>
      </c>
      <c r="L34" s="96">
        <f t="shared" si="4"/>
        <v>532.66575</v>
      </c>
      <c r="M34" s="115">
        <f t="shared" si="2"/>
        <v>6472.0336070566354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760.66606507158167</v>
      </c>
      <c r="C35" s="96">
        <f t="shared" ref="C35:F35" si="5">C4*SUM(C11:C21)</f>
        <v>750.62075000000004</v>
      </c>
      <c r="D35" s="96">
        <f t="shared" si="5"/>
        <v>767.40034723105452</v>
      </c>
      <c r="E35" s="96">
        <f t="shared" si="5"/>
        <v>751.16075000000001</v>
      </c>
      <c r="F35" s="96">
        <f t="shared" si="5"/>
        <v>612.93574999999998</v>
      </c>
      <c r="G35" s="3"/>
      <c r="H35" s="96">
        <f>H4*SUM(H11:H21)</f>
        <v>759.02075000000013</v>
      </c>
      <c r="I35" s="96">
        <f t="shared" ref="I35:L35" si="6">I4*SUM(I11:I21)</f>
        <v>748.97074999999995</v>
      </c>
      <c r="J35" s="96">
        <f t="shared" si="6"/>
        <v>760.25034723105443</v>
      </c>
      <c r="K35" s="96">
        <f t="shared" si="6"/>
        <v>744.01075000000003</v>
      </c>
      <c r="L35" s="96">
        <f t="shared" si="6"/>
        <v>612.93574999999998</v>
      </c>
      <c r="M35" s="115">
        <f t="shared" si="2"/>
        <v>7267.9720095336907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B4*(SUM(B11:B21)+SUM(B22:B25))-IF(B4&gt;0,IF(B9&gt;0,B4*B9*(B8*(B6/500)),SUM(B24:B25))*B4,0)</f>
        <v>794.89606507158157</v>
      </c>
      <c r="C36" s="96">
        <f t="shared" ref="C36:F36" si="7">C4*(SUM(C11:C21)+SUM(C22:C25))-IF(C4&gt;0,IF(C9&gt;0,C4*C9*(C8*(C6/500)),SUM(C24:C25))*C4,0)</f>
        <v>784.40075000000002</v>
      </c>
      <c r="D36" s="96">
        <f t="shared" si="7"/>
        <v>801.9303472310545</v>
      </c>
      <c r="E36" s="96">
        <f t="shared" si="7"/>
        <v>784.96074999999996</v>
      </c>
      <c r="F36" s="96">
        <f t="shared" si="7"/>
        <v>640.51574999999991</v>
      </c>
      <c r="G36" s="3"/>
      <c r="H36" s="96">
        <f>H4*(SUM(H11:H21)+SUM(H22:H25))-IF(H4&gt;0,IF(H9&gt;0,H4*H9*(H8*(H6/500)),SUM(H24:H25))*H4,0)</f>
        <v>793.1807500000001</v>
      </c>
      <c r="I36" s="96">
        <f t="shared" ref="I36:L36" si="8">I4*(SUM(I11:I21)+SUM(I22:I25))-IF(I4&gt;0,IF(I9&gt;0,I4*I9*(I8*(I6/500)),SUM(I24:I25))*I4,0)</f>
        <v>782.67074999999988</v>
      </c>
      <c r="J36" s="96">
        <f t="shared" si="8"/>
        <v>794.46034723105436</v>
      </c>
      <c r="K36" s="96">
        <f t="shared" si="8"/>
        <v>777.49074999999993</v>
      </c>
      <c r="L36" s="96">
        <f t="shared" si="8"/>
        <v>640.51574999999991</v>
      </c>
      <c r="M36" s="115">
        <f t="shared" si="2"/>
        <v>7595.0220095336899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>B4*SUM(B28:B30)</f>
        <v>180.96</v>
      </c>
      <c r="C37" s="96">
        <f t="shared" ref="C37:F37" si="9">C4*SUM(C28:C30)</f>
        <v>170.59</v>
      </c>
      <c r="D37" s="96">
        <f t="shared" si="9"/>
        <v>248.11999999999998</v>
      </c>
      <c r="E37" s="96">
        <f t="shared" si="9"/>
        <v>225.60999999999999</v>
      </c>
      <c r="F37" s="96">
        <f t="shared" si="9"/>
        <v>142.6</v>
      </c>
      <c r="G37" s="3"/>
      <c r="H37" s="96">
        <f>H4*SUM(H28:H30)</f>
        <v>163.19</v>
      </c>
      <c r="I37" s="96">
        <f t="shared" ref="I37:L37" si="10">I4*SUM(I28:I30)</f>
        <v>152.82</v>
      </c>
      <c r="J37" s="96">
        <f t="shared" si="10"/>
        <v>165.10999999999999</v>
      </c>
      <c r="K37" s="96">
        <f t="shared" si="10"/>
        <v>142.6</v>
      </c>
      <c r="L37" s="96">
        <f t="shared" si="10"/>
        <v>142.6</v>
      </c>
      <c r="M37" s="115">
        <f t="shared" si="2"/>
        <v>1734.2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975.85606507158161</v>
      </c>
      <c r="C38" s="96">
        <f t="shared" ref="C38:F38" si="11">SUM(C36:C37)</f>
        <v>954.99075000000005</v>
      </c>
      <c r="D38" s="96">
        <f t="shared" si="11"/>
        <v>1050.0503472310545</v>
      </c>
      <c r="E38" s="96">
        <f t="shared" si="11"/>
        <v>1010.57075</v>
      </c>
      <c r="F38" s="96">
        <f t="shared" si="11"/>
        <v>783.11574999999993</v>
      </c>
      <c r="G38" s="3"/>
      <c r="H38" s="96">
        <f>SUM(H36:H37)</f>
        <v>956.37075000000004</v>
      </c>
      <c r="I38" s="96">
        <f t="shared" ref="I38:L38" si="12">SUM(I36:I37)</f>
        <v>935.49074999999993</v>
      </c>
      <c r="J38" s="96">
        <f t="shared" si="12"/>
        <v>959.57034723105437</v>
      </c>
      <c r="K38" s="96">
        <f t="shared" si="12"/>
        <v>920.09074999999996</v>
      </c>
      <c r="L38" s="96">
        <f t="shared" si="12"/>
        <v>783.11574999999993</v>
      </c>
      <c r="M38" s="115">
        <f t="shared" si="2"/>
        <v>9329.2220095336888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-195.85606507158161</v>
      </c>
      <c r="C39" s="97">
        <f t="shared" ref="C39:F39" si="13">(C4*C6*C7*C8)-C26-C38</f>
        <v>-174.99075000000005</v>
      </c>
      <c r="D39" s="97">
        <f t="shared" si="13"/>
        <v>-270.0503472310545</v>
      </c>
      <c r="E39" s="97">
        <f t="shared" si="13"/>
        <v>-230.57074999999998</v>
      </c>
      <c r="F39" s="97">
        <f t="shared" si="13"/>
        <v>-263.11574999999993</v>
      </c>
      <c r="G39" s="412"/>
      <c r="H39" s="97">
        <f>(H4*H6*H7*H8)-H26-H38</f>
        <v>-371.37075000000004</v>
      </c>
      <c r="I39" s="97">
        <f t="shared" ref="I39:L39" si="14">(I4*I6*I7*I8)-I26-I38</f>
        <v>-350.49074999999993</v>
      </c>
      <c r="J39" s="97">
        <f t="shared" si="14"/>
        <v>-374.57034723105437</v>
      </c>
      <c r="K39" s="97">
        <f t="shared" si="14"/>
        <v>-335.09074999999996</v>
      </c>
      <c r="L39" s="97">
        <f t="shared" si="14"/>
        <v>-393.11574999999993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28.84734733883873</v>
      </c>
      <c r="C41" s="395">
        <f t="shared" ref="C41:F41" si="15">C20*C4</f>
        <v>27.33</v>
      </c>
      <c r="D41" s="395">
        <f t="shared" si="15"/>
        <v>35.44</v>
      </c>
      <c r="E41" s="395">
        <f t="shared" si="15"/>
        <v>32.14</v>
      </c>
      <c r="F41" s="395">
        <f t="shared" si="15"/>
        <v>24.99</v>
      </c>
      <c r="G41" s="2"/>
      <c r="H41" s="395">
        <f>H20*H4</f>
        <v>27.2</v>
      </c>
      <c r="I41" s="395">
        <f t="shared" ref="I41:L41" si="16">I20*I4</f>
        <v>25.68</v>
      </c>
      <c r="J41" s="395">
        <f t="shared" si="16"/>
        <v>28.29</v>
      </c>
      <c r="K41" s="395">
        <f t="shared" si="16"/>
        <v>24.99</v>
      </c>
      <c r="L41" s="395">
        <f t="shared" si="16"/>
        <v>24.99</v>
      </c>
      <c r="M41" s="396">
        <f>SUM(B41:F41)+SUM(H41:L41)</f>
        <v>279.8973473388387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9.7010551382162209</v>
      </c>
      <c r="C42" s="395">
        <f t="shared" ref="C42:F42" si="17">C21*C4</f>
        <v>9.6999999999999993</v>
      </c>
      <c r="D42" s="395">
        <f t="shared" si="17"/>
        <v>7.67</v>
      </c>
      <c r="E42" s="395">
        <f t="shared" si="17"/>
        <v>7.67</v>
      </c>
      <c r="F42" s="395">
        <f t="shared" si="17"/>
        <v>6.28</v>
      </c>
      <c r="G42" s="2"/>
      <c r="H42" s="395">
        <f>H21*H4</f>
        <v>9.6999999999999993</v>
      </c>
      <c r="I42" s="395">
        <f t="shared" ref="I42:L42" si="18">I21*I4</f>
        <v>9.6999999999999993</v>
      </c>
      <c r="J42" s="395">
        <f t="shared" si="18"/>
        <v>7.67</v>
      </c>
      <c r="K42" s="395">
        <f t="shared" si="18"/>
        <v>7.67</v>
      </c>
      <c r="L42" s="395">
        <f t="shared" si="18"/>
        <v>6.28</v>
      </c>
      <c r="M42" s="396">
        <f>SUM(B42:F42)+SUM(H42:L42)</f>
        <v>82.041055138216223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48"/>
  <sheetViews>
    <sheetView workbookViewId="0">
      <selection activeCell="B6" sqref="B6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33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104"/>
      <c r="M1" s="421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x14ac:dyDescent="0.25">
      <c r="A2" s="44" t="s">
        <v>24</v>
      </c>
      <c r="B2" s="68" t="s">
        <v>23</v>
      </c>
      <c r="C2" s="25"/>
      <c r="D2" s="26" t="s">
        <v>26</v>
      </c>
      <c r="E2" s="26"/>
      <c r="F2" s="28" t="s">
        <v>28</v>
      </c>
      <c r="G2" s="29"/>
      <c r="H2" s="25" t="s">
        <v>23</v>
      </c>
      <c r="I2" s="25"/>
      <c r="J2" s="26" t="s">
        <v>26</v>
      </c>
      <c r="K2" s="26"/>
      <c r="L2" s="27" t="s">
        <v>28</v>
      </c>
      <c r="M2" s="88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70" t="s">
        <v>27</v>
      </c>
      <c r="M3" s="88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9">
        <v>1</v>
      </c>
      <c r="M4" s="88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72"/>
      <c r="M5" s="88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>
        <v>215</v>
      </c>
      <c r="C6" s="33">
        <v>215</v>
      </c>
      <c r="D6" s="33">
        <v>210</v>
      </c>
      <c r="E6" s="33">
        <v>210</v>
      </c>
      <c r="F6" s="52">
        <v>125</v>
      </c>
      <c r="G6" s="4"/>
      <c r="H6" s="33">
        <v>215</v>
      </c>
      <c r="I6" s="33">
        <v>215</v>
      </c>
      <c r="J6" s="33">
        <v>210</v>
      </c>
      <c r="K6" s="33">
        <v>210</v>
      </c>
      <c r="L6" s="33">
        <v>125</v>
      </c>
      <c r="M6" s="88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>
        <v>4.45</v>
      </c>
      <c r="C7" s="24">
        <v>4.45</v>
      </c>
      <c r="D7" s="24">
        <v>4.45</v>
      </c>
      <c r="E7" s="24">
        <v>4.45</v>
      </c>
      <c r="F7" s="24">
        <v>4.45</v>
      </c>
      <c r="G7" s="5"/>
      <c r="H7" s="24">
        <v>4.45</v>
      </c>
      <c r="I7" s="24">
        <v>4.45</v>
      </c>
      <c r="J7" s="24">
        <v>4.45</v>
      </c>
      <c r="K7" s="24">
        <v>4.45</v>
      </c>
      <c r="L7" s="24">
        <v>4.45</v>
      </c>
      <c r="M7" s="88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54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23">
        <v>0.75</v>
      </c>
      <c r="M8" s="88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559"/>
      <c r="I9" s="217"/>
      <c r="J9" s="217"/>
      <c r="K9" s="217"/>
      <c r="L9" s="560"/>
      <c r="M9" s="88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555"/>
      <c r="C10" s="554"/>
      <c r="D10" s="554"/>
      <c r="E10" s="554"/>
      <c r="F10" s="554"/>
      <c r="G10" s="5"/>
      <c r="H10" s="555"/>
      <c r="I10" s="561"/>
      <c r="J10" s="561"/>
      <c r="K10" s="561"/>
      <c r="L10" s="556"/>
      <c r="M10" s="88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134.08000000000001</v>
      </c>
      <c r="C11" s="553">
        <v>134.08000000000001</v>
      </c>
      <c r="D11" s="553">
        <v>134.08000000000001</v>
      </c>
      <c r="E11" s="553">
        <v>134.08000000000001</v>
      </c>
      <c r="F11" s="553">
        <v>108.94000000000001</v>
      </c>
      <c r="G11" s="5"/>
      <c r="H11" s="553">
        <v>134.08000000000001</v>
      </c>
      <c r="I11" s="553">
        <v>134.08000000000001</v>
      </c>
      <c r="J11" s="553">
        <v>134.08000000000001</v>
      </c>
      <c r="K11" s="553">
        <v>134.08000000000001</v>
      </c>
      <c r="L11" s="553">
        <v>108.94000000000001</v>
      </c>
      <c r="M11" s="88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280.94150000000002</v>
      </c>
      <c r="C12" s="553">
        <v>280.94150000000002</v>
      </c>
      <c r="D12" s="553">
        <v>280.94150000000002</v>
      </c>
      <c r="E12" s="553">
        <v>280.94150000000002</v>
      </c>
      <c r="F12" s="553">
        <v>235.054</v>
      </c>
      <c r="G12" s="5"/>
      <c r="H12" s="553">
        <v>280.94150000000002</v>
      </c>
      <c r="I12" s="553">
        <v>280.94150000000002</v>
      </c>
      <c r="J12" s="553">
        <v>280.94150000000002</v>
      </c>
      <c r="K12" s="553">
        <v>280.94150000000002</v>
      </c>
      <c r="L12" s="553">
        <v>235.054</v>
      </c>
      <c r="M12" s="88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61.790156249999995</v>
      </c>
      <c r="C13" s="553">
        <v>61.790156249999995</v>
      </c>
      <c r="D13" s="553">
        <v>61.790156249999995</v>
      </c>
      <c r="E13" s="553">
        <v>61.790156249999995</v>
      </c>
      <c r="F13" s="553">
        <v>61.790156249999995</v>
      </c>
      <c r="G13" s="5"/>
      <c r="H13" s="553">
        <v>61.790156249999995</v>
      </c>
      <c r="I13" s="553">
        <v>61.790156249999995</v>
      </c>
      <c r="J13" s="553">
        <v>61.790156249999995</v>
      </c>
      <c r="K13" s="553">
        <v>61.790156249999995</v>
      </c>
      <c r="L13" s="553">
        <v>61.790156249999995</v>
      </c>
      <c r="M13" s="88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52.5</v>
      </c>
      <c r="C14" s="553">
        <v>52.5</v>
      </c>
      <c r="D14" s="553">
        <v>52.5</v>
      </c>
      <c r="E14" s="553">
        <v>52.5</v>
      </c>
      <c r="F14" s="553">
        <v>51</v>
      </c>
      <c r="G14" s="5"/>
      <c r="H14" s="553">
        <v>52.5</v>
      </c>
      <c r="I14" s="553">
        <v>52.5</v>
      </c>
      <c r="J14" s="553">
        <v>52.5</v>
      </c>
      <c r="K14" s="553">
        <v>52.5</v>
      </c>
      <c r="L14" s="553">
        <v>51</v>
      </c>
      <c r="M14" s="88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24">
        <v>16.25</v>
      </c>
      <c r="C15" s="24">
        <v>16.25</v>
      </c>
      <c r="D15" s="24">
        <v>0</v>
      </c>
      <c r="E15" s="24">
        <v>0</v>
      </c>
      <c r="F15" s="24">
        <v>0</v>
      </c>
      <c r="G15" s="5"/>
      <c r="H15" s="24">
        <v>16.25</v>
      </c>
      <c r="I15" s="24">
        <v>16.25</v>
      </c>
      <c r="J15" s="24">
        <v>0</v>
      </c>
      <c r="K15" s="24">
        <v>0</v>
      </c>
      <c r="L15" s="24">
        <v>0</v>
      </c>
      <c r="M15" s="88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553">
        <v>16.348424406668279</v>
      </c>
      <c r="C16" s="24">
        <v>16.350000000000001</v>
      </c>
      <c r="D16" s="24">
        <v>14.17</v>
      </c>
      <c r="E16" s="24">
        <v>14.17</v>
      </c>
      <c r="F16" s="24">
        <v>14.17</v>
      </c>
      <c r="G16" s="5"/>
      <c r="H16" s="24">
        <v>16.350000000000001</v>
      </c>
      <c r="I16" s="24">
        <v>16.350000000000001</v>
      </c>
      <c r="J16" s="24">
        <v>14.17</v>
      </c>
      <c r="K16" s="24">
        <v>14.17</v>
      </c>
      <c r="L16" s="24">
        <v>14.17</v>
      </c>
      <c r="M16" s="88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553">
        <v>46.300338245614029</v>
      </c>
      <c r="C17" s="24">
        <v>36.36</v>
      </c>
      <c r="D17" s="24">
        <v>70.33</v>
      </c>
      <c r="E17" s="24">
        <v>55.22</v>
      </c>
      <c r="F17" s="24">
        <v>0</v>
      </c>
      <c r="G17" s="5"/>
      <c r="H17" s="24">
        <v>46.3</v>
      </c>
      <c r="I17" s="24">
        <v>36.36</v>
      </c>
      <c r="J17" s="24">
        <v>70.33</v>
      </c>
      <c r="K17" s="24">
        <v>55.22</v>
      </c>
      <c r="L17" s="24">
        <v>0</v>
      </c>
      <c r="M17" s="88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553">
        <v>6</v>
      </c>
      <c r="C18" s="553">
        <v>6</v>
      </c>
      <c r="D18" s="553">
        <v>6</v>
      </c>
      <c r="E18" s="553">
        <v>6</v>
      </c>
      <c r="F18" s="553">
        <v>6</v>
      </c>
      <c r="G18" s="5"/>
      <c r="H18" s="553">
        <v>6</v>
      </c>
      <c r="I18" s="553">
        <v>6</v>
      </c>
      <c r="J18" s="553">
        <v>6</v>
      </c>
      <c r="K18" s="553">
        <v>6</v>
      </c>
      <c r="L18" s="553">
        <v>6</v>
      </c>
      <c r="M18" s="88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553">
        <v>34</v>
      </c>
      <c r="C19" s="553">
        <v>34</v>
      </c>
      <c r="D19" s="553">
        <v>34</v>
      </c>
      <c r="E19" s="553">
        <v>34</v>
      </c>
      <c r="F19" s="553">
        <v>40</v>
      </c>
      <c r="G19" s="5"/>
      <c r="H19" s="553">
        <v>34</v>
      </c>
      <c r="I19" s="553">
        <v>34</v>
      </c>
      <c r="J19" s="553">
        <v>34</v>
      </c>
      <c r="K19" s="553">
        <v>34</v>
      </c>
      <c r="L19" s="553">
        <v>40</v>
      </c>
      <c r="M19" s="88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553">
        <v>22.128465529200856</v>
      </c>
      <c r="C20" s="24">
        <v>20.36</v>
      </c>
      <c r="D20" s="24">
        <v>29.93</v>
      </c>
      <c r="E20" s="24">
        <v>26.08</v>
      </c>
      <c r="F20" s="553">
        <v>17.738832021088562</v>
      </c>
      <c r="G20" s="5"/>
      <c r="H20" s="24">
        <v>20.2</v>
      </c>
      <c r="I20" s="24">
        <v>18.43</v>
      </c>
      <c r="J20" s="24">
        <v>21.59</v>
      </c>
      <c r="K20" s="24">
        <v>17.739999999999998</v>
      </c>
      <c r="L20" s="553">
        <v>17.738832021088562</v>
      </c>
      <c r="M20" s="88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553">
        <v>11.047226018407773</v>
      </c>
      <c r="C21" s="24">
        <v>11.05</v>
      </c>
      <c r="D21" s="24">
        <v>9.15</v>
      </c>
      <c r="E21" s="24">
        <v>9.15</v>
      </c>
      <c r="F21" s="553">
        <v>7.5265585964264252</v>
      </c>
      <c r="G21" s="5"/>
      <c r="H21" s="24">
        <v>11.05</v>
      </c>
      <c r="I21" s="24">
        <v>11.05</v>
      </c>
      <c r="J21" s="24">
        <v>9.15</v>
      </c>
      <c r="K21" s="24">
        <v>9.15</v>
      </c>
      <c r="L21" s="553">
        <v>7.5265585964264252</v>
      </c>
      <c r="M21" s="88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30.66</v>
      </c>
      <c r="C22" s="24">
        <v>30.14</v>
      </c>
      <c r="D22" s="24">
        <v>31.18</v>
      </c>
      <c r="E22" s="24">
        <v>30.33</v>
      </c>
      <c r="F22" s="24">
        <v>24.4</v>
      </c>
      <c r="G22" s="5"/>
      <c r="H22" s="24">
        <v>30.58</v>
      </c>
      <c r="I22" s="24">
        <v>30.05</v>
      </c>
      <c r="J22" s="24">
        <v>30.81</v>
      </c>
      <c r="K22" s="24">
        <v>29.95</v>
      </c>
      <c r="L22" s="24">
        <v>24.4</v>
      </c>
      <c r="M22" s="88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/>
      <c r="C23" s="24"/>
      <c r="D23" s="24"/>
      <c r="E23" s="24"/>
      <c r="F23" s="24"/>
      <c r="G23" s="5"/>
      <c r="H23" s="24"/>
      <c r="I23" s="24"/>
      <c r="J23" s="24"/>
      <c r="K23" s="24"/>
      <c r="L23" s="24"/>
      <c r="M23" s="88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>
        <v>94.6</v>
      </c>
      <c r="C24" s="24">
        <v>94.6</v>
      </c>
      <c r="D24" s="24">
        <v>92.4</v>
      </c>
      <c r="E24" s="24">
        <v>92.4</v>
      </c>
      <c r="F24" s="24">
        <v>55</v>
      </c>
      <c r="G24" s="5"/>
      <c r="H24" s="24">
        <v>94.6</v>
      </c>
      <c r="I24" s="24">
        <v>94.6</v>
      </c>
      <c r="J24" s="24">
        <v>92.4</v>
      </c>
      <c r="K24" s="24">
        <v>92.4</v>
      </c>
      <c r="L24" s="24">
        <v>55</v>
      </c>
      <c r="M24" s="88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2.15</v>
      </c>
      <c r="C25" s="24">
        <v>2.15</v>
      </c>
      <c r="D25" s="24">
        <v>2.1</v>
      </c>
      <c r="E25" s="24">
        <v>2.1</v>
      </c>
      <c r="F25" s="24">
        <v>1.25</v>
      </c>
      <c r="G25" s="5"/>
      <c r="H25" s="24">
        <v>2.15</v>
      </c>
      <c r="I25" s="24">
        <v>2.15</v>
      </c>
      <c r="J25" s="24">
        <v>2.1</v>
      </c>
      <c r="K25" s="24">
        <v>2.1</v>
      </c>
      <c r="L25" s="24">
        <v>1.25</v>
      </c>
      <c r="M25" s="88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/>
      <c r="C26" s="24"/>
      <c r="D26" s="24"/>
      <c r="E26" s="24"/>
      <c r="F26" s="24"/>
      <c r="G26" s="5"/>
      <c r="H26" s="24"/>
      <c r="I26" s="24"/>
      <c r="J26" s="24"/>
      <c r="K26" s="24"/>
      <c r="L26" s="24"/>
      <c r="M26" s="88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76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91.4</v>
      </c>
      <c r="C28" s="24">
        <v>91.4</v>
      </c>
      <c r="D28" s="24">
        <v>81.66</v>
      </c>
      <c r="E28" s="24">
        <v>81.66</v>
      </c>
      <c r="F28" s="24">
        <v>81.66</v>
      </c>
      <c r="G28" s="5"/>
      <c r="H28" s="24">
        <v>91.4</v>
      </c>
      <c r="I28" s="24">
        <v>91.4</v>
      </c>
      <c r="J28" s="24">
        <v>81.66</v>
      </c>
      <c r="K28" s="24">
        <v>81.66</v>
      </c>
      <c r="L28" s="24">
        <v>81.66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31.61</v>
      </c>
      <c r="C29" s="24">
        <v>19.579999999999998</v>
      </c>
      <c r="D29" s="24">
        <v>121.39</v>
      </c>
      <c r="E29" s="24">
        <v>95.26</v>
      </c>
      <c r="F29" s="24">
        <v>0</v>
      </c>
      <c r="G29" s="5"/>
      <c r="H29" s="24">
        <v>12.03</v>
      </c>
      <c r="I29" s="24">
        <v>0</v>
      </c>
      <c r="J29" s="24">
        <v>26.13</v>
      </c>
      <c r="K29" s="24">
        <v>0</v>
      </c>
      <c r="L29" s="24">
        <v>0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4.57</v>
      </c>
      <c r="C30" s="24">
        <v>4.57</v>
      </c>
      <c r="D30" s="24">
        <v>4.08</v>
      </c>
      <c r="E30" s="24">
        <v>4.08</v>
      </c>
      <c r="F30" s="24">
        <v>4.08</v>
      </c>
      <c r="G30" s="56"/>
      <c r="H30" s="24">
        <v>4.57</v>
      </c>
      <c r="I30" s="24">
        <v>4.57</v>
      </c>
      <c r="J30" s="24">
        <v>4.08</v>
      </c>
      <c r="K30" s="24">
        <v>4.08</v>
      </c>
      <c r="L30" s="24">
        <v>4.08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9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>(B4*B6*B7*B8)-B26</f>
        <v>956.75</v>
      </c>
      <c r="C33" s="399">
        <f t="shared" ref="C33:F33" si="0">(C4*C6*C7*C8)-C26</f>
        <v>956.75</v>
      </c>
      <c r="D33" s="399">
        <f t="shared" si="0"/>
        <v>934.5</v>
      </c>
      <c r="E33" s="399">
        <f t="shared" si="0"/>
        <v>934.5</v>
      </c>
      <c r="F33" s="399">
        <f t="shared" si="0"/>
        <v>556.25</v>
      </c>
      <c r="G33" s="400"/>
      <c r="H33" s="399">
        <f>(H4*H6*H7*H8)-H26</f>
        <v>717.5625</v>
      </c>
      <c r="I33" s="399">
        <f t="shared" ref="I33:L33" si="1">(I4*I6*I7*I8)-I26</f>
        <v>717.5625</v>
      </c>
      <c r="J33" s="399">
        <f t="shared" si="1"/>
        <v>700.875</v>
      </c>
      <c r="K33" s="399">
        <f t="shared" si="1"/>
        <v>700.875</v>
      </c>
      <c r="L33" s="399">
        <f t="shared" si="1"/>
        <v>417.1875</v>
      </c>
      <c r="M33" s="115">
        <f t="shared" ref="M33:M38" si="2">SUM(B33:F33)+SUM(H33:L33)</f>
        <v>7592.8125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608.21041890228241</v>
      </c>
      <c r="C34" s="96">
        <f t="shared" ref="C34:F34" si="3">C4*(SUM(C11:C17))</f>
        <v>598.27165625000009</v>
      </c>
      <c r="D34" s="96">
        <f t="shared" si="3"/>
        <v>613.81165625000006</v>
      </c>
      <c r="E34" s="96">
        <f t="shared" si="3"/>
        <v>598.70165625000004</v>
      </c>
      <c r="F34" s="96">
        <f t="shared" si="3"/>
        <v>470.95415625000004</v>
      </c>
      <c r="G34" s="3"/>
      <c r="H34" s="96">
        <f>H4*(SUM(H11:H17))</f>
        <v>608.21165625000003</v>
      </c>
      <c r="I34" s="96">
        <f t="shared" ref="I34:L34" si="4">I4*(SUM(I11:I17))</f>
        <v>598.27165625000009</v>
      </c>
      <c r="J34" s="96">
        <f t="shared" si="4"/>
        <v>613.81165625000006</v>
      </c>
      <c r="K34" s="96">
        <f t="shared" si="4"/>
        <v>598.70165625000004</v>
      </c>
      <c r="L34" s="96">
        <f t="shared" si="4"/>
        <v>470.95415625000004</v>
      </c>
      <c r="M34" s="115">
        <f t="shared" si="2"/>
        <v>5779.9003251522818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681.38611044989102</v>
      </c>
      <c r="C35" s="96">
        <f t="shared" ref="C35:F35" si="5">C4*SUM(C11:C21)</f>
        <v>669.68165625000006</v>
      </c>
      <c r="D35" s="96">
        <f t="shared" si="5"/>
        <v>692.89165624999998</v>
      </c>
      <c r="E35" s="96">
        <f t="shared" si="5"/>
        <v>673.93165625000006</v>
      </c>
      <c r="F35" s="96">
        <f t="shared" si="5"/>
        <v>542.21954686751508</v>
      </c>
      <c r="G35" s="3"/>
      <c r="H35" s="96">
        <f>H4*SUM(H11:H21)</f>
        <v>679.46165625000003</v>
      </c>
      <c r="I35" s="96">
        <f t="shared" ref="I35:L35" si="6">I4*SUM(I11:I21)</f>
        <v>667.75165625</v>
      </c>
      <c r="J35" s="96">
        <f t="shared" si="6"/>
        <v>684.55165625000006</v>
      </c>
      <c r="K35" s="96">
        <f t="shared" si="6"/>
        <v>665.59165625000003</v>
      </c>
      <c r="L35" s="96">
        <f t="shared" si="6"/>
        <v>542.21954686751508</v>
      </c>
      <c r="M35" s="115">
        <f t="shared" si="2"/>
        <v>6499.6867979349217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</f>
        <v>808.79611044989099</v>
      </c>
      <c r="C36" s="96">
        <f t="shared" ref="C36:F36" si="7">C4*(SUM(C11:C21)+SUM(C22:C25))</f>
        <v>796.57165625000005</v>
      </c>
      <c r="D36" s="96">
        <f t="shared" si="7"/>
        <v>818.57165624999993</v>
      </c>
      <c r="E36" s="96">
        <f t="shared" si="7"/>
        <v>798.7616562500001</v>
      </c>
      <c r="F36" s="96">
        <f t="shared" si="7"/>
        <v>622.86954686751506</v>
      </c>
      <c r="G36" s="3"/>
      <c r="H36" s="96">
        <f>H4*(SUM(H11:H21)+SUM(H22:H25))</f>
        <v>806.79165625000007</v>
      </c>
      <c r="I36" s="96">
        <f t="shared" ref="I36:L36" si="8">I4*(SUM(I11:I21)+SUM(I22:I25))</f>
        <v>794.55165624999995</v>
      </c>
      <c r="J36" s="96">
        <f t="shared" si="8"/>
        <v>809.86165625000012</v>
      </c>
      <c r="K36" s="96">
        <f t="shared" si="8"/>
        <v>790.04165625000007</v>
      </c>
      <c r="L36" s="96">
        <f t="shared" si="8"/>
        <v>622.86954686751506</v>
      </c>
      <c r="M36" s="115">
        <f t="shared" si="2"/>
        <v>7669.6867979349217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401" t="s">
        <v>158</v>
      </c>
      <c r="B37" s="96">
        <f>B4*SUM(B28:B30)</f>
        <v>127.58000000000001</v>
      </c>
      <c r="C37" s="96">
        <f t="shared" ref="C37:F37" si="9">C4*SUM(C28:C30)</f>
        <v>115.55000000000001</v>
      </c>
      <c r="D37" s="96">
        <f t="shared" si="9"/>
        <v>207.13000000000002</v>
      </c>
      <c r="E37" s="96">
        <f t="shared" si="9"/>
        <v>181.00000000000003</v>
      </c>
      <c r="F37" s="96">
        <f t="shared" si="9"/>
        <v>85.74</v>
      </c>
      <c r="G37" s="3"/>
      <c r="H37" s="96">
        <f>H4*SUM(H28:H30)</f>
        <v>108</v>
      </c>
      <c r="I37" s="96">
        <f t="shared" ref="I37:L37" si="10">I4*SUM(I28:I30)</f>
        <v>95.97</v>
      </c>
      <c r="J37" s="96">
        <f t="shared" si="10"/>
        <v>111.86999999999999</v>
      </c>
      <c r="K37" s="96">
        <f t="shared" si="10"/>
        <v>85.74</v>
      </c>
      <c r="L37" s="96">
        <f t="shared" si="10"/>
        <v>85.74</v>
      </c>
      <c r="M37" s="115">
        <f t="shared" si="2"/>
        <v>1204.3200000000002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936.37611044989103</v>
      </c>
      <c r="C38" s="96">
        <f t="shared" ref="C38:F38" si="11">SUM(C36:C37)</f>
        <v>912.12165625000011</v>
      </c>
      <c r="D38" s="96">
        <f t="shared" si="11"/>
        <v>1025.70165625</v>
      </c>
      <c r="E38" s="96">
        <f t="shared" si="11"/>
        <v>979.7616562500001</v>
      </c>
      <c r="F38" s="96">
        <f t="shared" si="11"/>
        <v>708.60954686751506</v>
      </c>
      <c r="G38" s="3"/>
      <c r="H38" s="96">
        <f>SUM(H36:H37)</f>
        <v>914.79165625000007</v>
      </c>
      <c r="I38" s="96">
        <f t="shared" ref="I38:L38" si="12">SUM(I36:I37)</f>
        <v>890.52165624999998</v>
      </c>
      <c r="J38" s="96">
        <f t="shared" si="12"/>
        <v>921.73165625000013</v>
      </c>
      <c r="K38" s="96">
        <f t="shared" si="12"/>
        <v>875.78165625000008</v>
      </c>
      <c r="L38" s="96">
        <f t="shared" si="12"/>
        <v>708.60954686751506</v>
      </c>
      <c r="M38" s="115">
        <f t="shared" si="2"/>
        <v>8874.0067979349224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20.37388955010897</v>
      </c>
      <c r="C39" s="97">
        <f t="shared" ref="C39:F39" si="13">(C4*C6*C7*C8)-C26-C38</f>
        <v>44.628343749999885</v>
      </c>
      <c r="D39" s="97">
        <f t="shared" si="13"/>
        <v>-91.201656250000042</v>
      </c>
      <c r="E39" s="97">
        <f t="shared" si="13"/>
        <v>-45.261656250000101</v>
      </c>
      <c r="F39" s="97">
        <f t="shared" si="13"/>
        <v>-152.35954686751506</v>
      </c>
      <c r="G39" s="412"/>
      <c r="H39" s="97">
        <f>(H4*H6*H7*H8)-H26-H38</f>
        <v>-197.22915625000007</v>
      </c>
      <c r="I39" s="97">
        <f t="shared" ref="I39:L39" si="14">(I4*I6*I7*I8)-I26-I38</f>
        <v>-172.95915624999998</v>
      </c>
      <c r="J39" s="97">
        <f t="shared" si="14"/>
        <v>-220.85665625000013</v>
      </c>
      <c r="K39" s="97">
        <f t="shared" si="14"/>
        <v>-174.90665625000008</v>
      </c>
      <c r="L39" s="97">
        <f t="shared" si="14"/>
        <v>-291.42204686751506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22.128465529200856</v>
      </c>
      <c r="C41" s="395">
        <f t="shared" ref="C41:F41" si="15">C20*C4</f>
        <v>20.36</v>
      </c>
      <c r="D41" s="395">
        <f t="shared" si="15"/>
        <v>29.93</v>
      </c>
      <c r="E41" s="395">
        <f t="shared" si="15"/>
        <v>26.08</v>
      </c>
      <c r="F41" s="395">
        <f t="shared" si="15"/>
        <v>17.738832021088562</v>
      </c>
      <c r="G41" s="2"/>
      <c r="H41" s="395">
        <f>H20*H4</f>
        <v>20.2</v>
      </c>
      <c r="I41" s="395">
        <f t="shared" ref="I41:L41" si="16">I20*I4</f>
        <v>18.43</v>
      </c>
      <c r="J41" s="395">
        <f t="shared" si="16"/>
        <v>21.59</v>
      </c>
      <c r="K41" s="395">
        <f t="shared" si="16"/>
        <v>17.739999999999998</v>
      </c>
      <c r="L41" s="395">
        <f t="shared" si="16"/>
        <v>17.738832021088562</v>
      </c>
      <c r="M41" s="396">
        <f>SUM(B41:F41)+SUM(H41:L41)</f>
        <v>211.93612957137796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11.047226018407773</v>
      </c>
      <c r="C42" s="395">
        <f t="shared" ref="C42:F42" si="17">C21*C4</f>
        <v>11.05</v>
      </c>
      <c r="D42" s="395">
        <f t="shared" si="17"/>
        <v>9.15</v>
      </c>
      <c r="E42" s="395">
        <f t="shared" si="17"/>
        <v>9.15</v>
      </c>
      <c r="F42" s="395">
        <f t="shared" si="17"/>
        <v>7.5265585964264252</v>
      </c>
      <c r="G42" s="2"/>
      <c r="H42" s="395">
        <f>H21*H4</f>
        <v>11.05</v>
      </c>
      <c r="I42" s="395">
        <f t="shared" ref="I42:L42" si="18">I21*I4</f>
        <v>11.05</v>
      </c>
      <c r="J42" s="395">
        <f t="shared" si="18"/>
        <v>9.15</v>
      </c>
      <c r="K42" s="395">
        <f t="shared" si="18"/>
        <v>9.15</v>
      </c>
      <c r="L42" s="395">
        <f t="shared" si="18"/>
        <v>7.5265585964264252</v>
      </c>
      <c r="M42" s="396">
        <f>SUM(B42:F42)+SUM(H42:L42)</f>
        <v>95.850343211260622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48"/>
  <sheetViews>
    <sheetView workbookViewId="0">
      <selection activeCell="B6" sqref="B6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339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104"/>
      <c r="M1" s="421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customHeight="1" x14ac:dyDescent="0.25">
      <c r="A2" s="44" t="s">
        <v>24</v>
      </c>
      <c r="B2" s="68" t="s">
        <v>52</v>
      </c>
      <c r="C2" s="25"/>
      <c r="D2" s="26" t="s">
        <v>26</v>
      </c>
      <c r="E2" s="26"/>
      <c r="F2" s="28" t="s">
        <v>28</v>
      </c>
      <c r="G2" s="29"/>
      <c r="H2" s="25" t="s">
        <v>52</v>
      </c>
      <c r="I2" s="25"/>
      <c r="J2" s="26" t="s">
        <v>26</v>
      </c>
      <c r="K2" s="26"/>
      <c r="L2" s="27" t="s">
        <v>28</v>
      </c>
      <c r="M2" s="88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70" t="s">
        <v>27</v>
      </c>
      <c r="M3" s="88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9">
        <v>1</v>
      </c>
      <c r="M4" s="88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72"/>
      <c r="M5" s="88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>
        <v>60</v>
      </c>
      <c r="C6" s="33">
        <v>60</v>
      </c>
      <c r="D6" s="33">
        <v>60</v>
      </c>
      <c r="E6" s="33">
        <v>60</v>
      </c>
      <c r="F6" s="33">
        <v>30</v>
      </c>
      <c r="G6" s="4"/>
      <c r="H6" s="33">
        <v>60</v>
      </c>
      <c r="I6" s="33">
        <v>60</v>
      </c>
      <c r="J6" s="33">
        <v>60</v>
      </c>
      <c r="K6" s="33">
        <v>60</v>
      </c>
      <c r="L6" s="33">
        <v>30</v>
      </c>
      <c r="M6" s="88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>
        <v>9.5</v>
      </c>
      <c r="C7" s="24">
        <v>9.5</v>
      </c>
      <c r="D7" s="24">
        <v>9.5</v>
      </c>
      <c r="E7" s="24">
        <v>9.5</v>
      </c>
      <c r="F7" s="24">
        <v>9.5</v>
      </c>
      <c r="G7" s="5"/>
      <c r="H7" s="24">
        <v>9.5</v>
      </c>
      <c r="I7" s="24">
        <v>9.5</v>
      </c>
      <c r="J7" s="24">
        <v>9.5</v>
      </c>
      <c r="K7" s="24">
        <v>9.5</v>
      </c>
      <c r="L7" s="24">
        <v>9.5</v>
      </c>
      <c r="M7" s="88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23">
        <v>0.75</v>
      </c>
      <c r="M8" s="88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559"/>
      <c r="I9" s="217"/>
      <c r="J9" s="217"/>
      <c r="K9" s="217"/>
      <c r="L9" s="560"/>
      <c r="M9" s="88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555"/>
      <c r="C10" s="554"/>
      <c r="D10" s="554"/>
      <c r="E10" s="554"/>
      <c r="F10" s="554"/>
      <c r="G10" s="5"/>
      <c r="H10" s="555"/>
      <c r="I10" s="561"/>
      <c r="J10" s="561"/>
      <c r="K10" s="561"/>
      <c r="L10" s="556"/>
      <c r="M10" s="88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102.00000000000001</v>
      </c>
      <c r="C11" s="553">
        <v>102.00000000000001</v>
      </c>
      <c r="D11" s="553">
        <v>102.00000000000001</v>
      </c>
      <c r="E11" s="553">
        <v>102.00000000000001</v>
      </c>
      <c r="F11" s="553">
        <v>74.800000000000011</v>
      </c>
      <c r="G11" s="5"/>
      <c r="H11" s="553">
        <v>102.00000000000001</v>
      </c>
      <c r="I11" s="553">
        <v>102.00000000000001</v>
      </c>
      <c r="J11" s="553">
        <v>102.00000000000001</v>
      </c>
      <c r="K11" s="553">
        <v>102.00000000000001</v>
      </c>
      <c r="L11" s="553">
        <v>74.800000000000011</v>
      </c>
      <c r="M11" s="88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56.05</v>
      </c>
      <c r="C12" s="553">
        <v>56.05</v>
      </c>
      <c r="D12" s="553">
        <v>56.05</v>
      </c>
      <c r="E12" s="553">
        <v>56.05</v>
      </c>
      <c r="F12" s="553">
        <v>56.05</v>
      </c>
      <c r="G12" s="5"/>
      <c r="H12" s="553">
        <v>56.05</v>
      </c>
      <c r="I12" s="553">
        <v>56.05</v>
      </c>
      <c r="J12" s="553">
        <v>56.05</v>
      </c>
      <c r="K12" s="553">
        <v>56.05</v>
      </c>
      <c r="L12" s="553">
        <v>56.05</v>
      </c>
      <c r="M12" s="88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119.22023437499999</v>
      </c>
      <c r="C13" s="553">
        <v>119.22023437499999</v>
      </c>
      <c r="D13" s="553">
        <v>119.22023437499999</v>
      </c>
      <c r="E13" s="553">
        <v>119.22023437499999</v>
      </c>
      <c r="F13" s="553">
        <v>119.22023437499999</v>
      </c>
      <c r="G13" s="5"/>
      <c r="H13" s="553">
        <v>119.22023437499999</v>
      </c>
      <c r="I13" s="553">
        <v>119.22023437499999</v>
      </c>
      <c r="J13" s="553">
        <v>119.22023437499999</v>
      </c>
      <c r="K13" s="553">
        <v>119.22023437499999</v>
      </c>
      <c r="L13" s="553">
        <v>119.22023437499999</v>
      </c>
      <c r="M13" s="88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62.5</v>
      </c>
      <c r="C14" s="553">
        <v>62.5</v>
      </c>
      <c r="D14" s="553">
        <v>62.5</v>
      </c>
      <c r="E14" s="553">
        <v>62.5</v>
      </c>
      <c r="F14" s="553">
        <v>62.5</v>
      </c>
      <c r="G14" s="5"/>
      <c r="H14" s="553">
        <v>62.5</v>
      </c>
      <c r="I14" s="553">
        <v>62.5</v>
      </c>
      <c r="J14" s="553">
        <v>62.5</v>
      </c>
      <c r="K14" s="553">
        <v>62.5</v>
      </c>
      <c r="L14" s="553">
        <v>62.5</v>
      </c>
      <c r="M14" s="88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553">
        <v>16.25</v>
      </c>
      <c r="C15" s="553">
        <v>16.25</v>
      </c>
      <c r="D15" s="24">
        <v>0</v>
      </c>
      <c r="E15" s="24">
        <v>0</v>
      </c>
      <c r="F15" s="24">
        <v>0</v>
      </c>
      <c r="G15" s="5"/>
      <c r="H15" s="553">
        <v>16.25</v>
      </c>
      <c r="I15" s="553">
        <v>16.25</v>
      </c>
      <c r="J15" s="24">
        <v>0</v>
      </c>
      <c r="K15" s="24">
        <v>0</v>
      </c>
      <c r="L15" s="24">
        <v>0</v>
      </c>
      <c r="M15" s="88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553">
        <v>14.325722674207414</v>
      </c>
      <c r="C16" s="24">
        <v>14.33</v>
      </c>
      <c r="D16" s="24">
        <v>12.15</v>
      </c>
      <c r="E16" s="24">
        <v>12.15</v>
      </c>
      <c r="F16" s="24">
        <v>12.15</v>
      </c>
      <c r="G16" s="5"/>
      <c r="H16" s="553">
        <v>14.325722674207414</v>
      </c>
      <c r="I16" s="24">
        <v>14.33</v>
      </c>
      <c r="J16" s="24">
        <v>12.15</v>
      </c>
      <c r="K16" s="24">
        <v>12.15</v>
      </c>
      <c r="L16" s="24">
        <v>12.15</v>
      </c>
      <c r="M16" s="88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553">
        <v>39.686004210526313</v>
      </c>
      <c r="C17" s="24">
        <v>31.16</v>
      </c>
      <c r="D17" s="24">
        <v>60.28</v>
      </c>
      <c r="E17" s="24">
        <v>47.34</v>
      </c>
      <c r="F17" s="24">
        <v>0</v>
      </c>
      <c r="G17" s="5"/>
      <c r="H17" s="553">
        <v>39.686004210526313</v>
      </c>
      <c r="I17" s="24">
        <v>31.16</v>
      </c>
      <c r="J17" s="24">
        <v>60.28</v>
      </c>
      <c r="K17" s="24">
        <v>47.34</v>
      </c>
      <c r="L17" s="24">
        <v>0</v>
      </c>
      <c r="M17" s="88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553">
        <v>5</v>
      </c>
      <c r="C18" s="553">
        <v>5</v>
      </c>
      <c r="D18" s="553">
        <v>5</v>
      </c>
      <c r="E18" s="553">
        <v>5</v>
      </c>
      <c r="F18" s="553">
        <v>5</v>
      </c>
      <c r="G18" s="5"/>
      <c r="H18" s="553">
        <v>5</v>
      </c>
      <c r="I18" s="553">
        <v>5</v>
      </c>
      <c r="J18" s="553">
        <v>5</v>
      </c>
      <c r="K18" s="553">
        <v>5</v>
      </c>
      <c r="L18" s="553">
        <v>5</v>
      </c>
      <c r="M18" s="88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553">
        <v>16</v>
      </c>
      <c r="C19" s="553">
        <v>16</v>
      </c>
      <c r="D19" s="553">
        <v>16</v>
      </c>
      <c r="E19" s="553">
        <v>16</v>
      </c>
      <c r="F19" s="553">
        <v>19</v>
      </c>
      <c r="G19" s="5"/>
      <c r="H19" s="553">
        <v>16</v>
      </c>
      <c r="I19" s="553">
        <v>16</v>
      </c>
      <c r="J19" s="553">
        <v>16</v>
      </c>
      <c r="K19" s="553">
        <v>16</v>
      </c>
      <c r="L19" s="553">
        <v>19</v>
      </c>
      <c r="M19" s="88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553">
        <v>18.280762802324865</v>
      </c>
      <c r="C20" s="24">
        <v>16.760000000000002</v>
      </c>
      <c r="D20" s="24">
        <v>24.87</v>
      </c>
      <c r="E20" s="24">
        <v>21.57</v>
      </c>
      <c r="F20" s="553">
        <v>14.41935846087924</v>
      </c>
      <c r="G20" s="5"/>
      <c r="H20" s="24">
        <v>16.63</v>
      </c>
      <c r="I20" s="24">
        <v>15.11</v>
      </c>
      <c r="J20" s="24">
        <v>17.72</v>
      </c>
      <c r="K20" s="24">
        <v>14.42</v>
      </c>
      <c r="L20" s="553">
        <v>14.41935846087924</v>
      </c>
      <c r="M20" s="88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553">
        <v>9.8350561245976156</v>
      </c>
      <c r="C21" s="553">
        <v>9.8350561245976156</v>
      </c>
      <c r="D21" s="24">
        <v>7.81</v>
      </c>
      <c r="E21" s="24">
        <v>7.81</v>
      </c>
      <c r="F21" s="553">
        <v>6.4102867026162684</v>
      </c>
      <c r="G21" s="5"/>
      <c r="H21" s="553">
        <v>9.8350561245976156</v>
      </c>
      <c r="I21" s="553">
        <v>9.8350561245976156</v>
      </c>
      <c r="J21" s="24">
        <v>7.81</v>
      </c>
      <c r="K21" s="24">
        <v>7.81</v>
      </c>
      <c r="L21" s="553">
        <v>6.4102867026162684</v>
      </c>
      <c r="M21" s="88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20.66</v>
      </c>
      <c r="C22" s="24">
        <v>20.21</v>
      </c>
      <c r="D22" s="24">
        <v>20.96</v>
      </c>
      <c r="E22" s="24">
        <v>20.23</v>
      </c>
      <c r="F22" s="24">
        <v>16.63</v>
      </c>
      <c r="G22" s="5"/>
      <c r="H22" s="24">
        <v>20.59</v>
      </c>
      <c r="I22" s="24">
        <v>20.14</v>
      </c>
      <c r="J22" s="24">
        <v>20.64</v>
      </c>
      <c r="K22" s="24">
        <v>19.91</v>
      </c>
      <c r="L22" s="24">
        <v>16.63</v>
      </c>
      <c r="M22" s="88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/>
      <c r="C23" s="24"/>
      <c r="D23" s="24"/>
      <c r="E23" s="24"/>
      <c r="F23" s="24"/>
      <c r="G23" s="5"/>
      <c r="H23" s="24"/>
      <c r="I23" s="24"/>
      <c r="J23" s="24"/>
      <c r="K23" s="24"/>
      <c r="L23" s="24"/>
      <c r="M23" s="88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>
        <v>15</v>
      </c>
      <c r="C24" s="24">
        <v>15</v>
      </c>
      <c r="D24" s="24">
        <v>15</v>
      </c>
      <c r="E24" s="24">
        <v>15</v>
      </c>
      <c r="F24" s="24">
        <v>7.5</v>
      </c>
      <c r="G24" s="5"/>
      <c r="H24" s="24">
        <v>15</v>
      </c>
      <c r="I24" s="24">
        <v>15</v>
      </c>
      <c r="J24" s="24">
        <v>15</v>
      </c>
      <c r="K24" s="24">
        <v>15</v>
      </c>
      <c r="L24" s="24">
        <v>7.5</v>
      </c>
      <c r="M24" s="88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2.85</v>
      </c>
      <c r="C25" s="24">
        <v>2.85</v>
      </c>
      <c r="D25" s="24">
        <v>2.85</v>
      </c>
      <c r="E25" s="24">
        <v>2.85</v>
      </c>
      <c r="F25" s="24">
        <v>1.43</v>
      </c>
      <c r="G25" s="5"/>
      <c r="H25" s="24">
        <v>2.85</v>
      </c>
      <c r="I25" s="24">
        <v>2.85</v>
      </c>
      <c r="J25" s="24">
        <v>2.85</v>
      </c>
      <c r="K25" s="24">
        <v>2.85</v>
      </c>
      <c r="L25" s="24">
        <v>1.43</v>
      </c>
      <c r="M25" s="88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/>
      <c r="C26" s="24"/>
      <c r="D26" s="24"/>
      <c r="E26" s="24"/>
      <c r="F26" s="24"/>
      <c r="G26" s="5"/>
      <c r="H26" s="24"/>
      <c r="I26" s="24"/>
      <c r="J26" s="24"/>
      <c r="K26" s="24"/>
      <c r="L26" s="24"/>
      <c r="M26" s="88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76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79.55</v>
      </c>
      <c r="C28" s="24">
        <v>79.55</v>
      </c>
      <c r="D28" s="24">
        <v>69.819999999999993</v>
      </c>
      <c r="E28" s="24">
        <v>69.819999999999993</v>
      </c>
      <c r="F28" s="24">
        <v>69.819999999999993</v>
      </c>
      <c r="G28" s="5"/>
      <c r="H28" s="24">
        <v>79.55</v>
      </c>
      <c r="I28" s="24">
        <v>79.55</v>
      </c>
      <c r="J28" s="24">
        <v>69.819999999999993</v>
      </c>
      <c r="K28" s="24">
        <v>69.819999999999993</v>
      </c>
      <c r="L28" s="24">
        <v>69.819999999999993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28.14</v>
      </c>
      <c r="C29" s="24">
        <v>17.77</v>
      </c>
      <c r="D29" s="24">
        <v>105.52</v>
      </c>
      <c r="E29" s="24">
        <v>83.01</v>
      </c>
      <c r="F29" s="24">
        <v>0</v>
      </c>
      <c r="G29" s="5"/>
      <c r="H29" s="24">
        <v>10.37</v>
      </c>
      <c r="I29" s="24">
        <v>0</v>
      </c>
      <c r="J29" s="24">
        <v>22.51</v>
      </c>
      <c r="K29" s="24">
        <v>0</v>
      </c>
      <c r="L29" s="24">
        <v>0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3.98</v>
      </c>
      <c r="C30" s="24">
        <v>3.98</v>
      </c>
      <c r="D30" s="24">
        <v>3.49</v>
      </c>
      <c r="E30" s="24">
        <v>3.49</v>
      </c>
      <c r="F30" s="24">
        <v>3.49</v>
      </c>
      <c r="G30" s="56"/>
      <c r="H30" s="24">
        <v>3.98</v>
      </c>
      <c r="I30" s="24">
        <v>3.98</v>
      </c>
      <c r="J30" s="24">
        <v>3.49</v>
      </c>
      <c r="K30" s="24">
        <v>3.49</v>
      </c>
      <c r="L30" s="24">
        <v>3.49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9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>(B4*B6*B7*B8)-B26</f>
        <v>570</v>
      </c>
      <c r="C33" s="399">
        <f t="shared" ref="C33:F33" si="0">(C4*C6*C7*C8)-C26</f>
        <v>570</v>
      </c>
      <c r="D33" s="399">
        <f t="shared" si="0"/>
        <v>570</v>
      </c>
      <c r="E33" s="399">
        <f t="shared" si="0"/>
        <v>570</v>
      </c>
      <c r="F33" s="399">
        <f t="shared" si="0"/>
        <v>285</v>
      </c>
      <c r="G33" s="400"/>
      <c r="H33" s="399">
        <f>(H4*H6*H7*H8)-H26</f>
        <v>427.5</v>
      </c>
      <c r="I33" s="399">
        <f t="shared" ref="I33:L33" si="1">(I4*I6*I7*I8)-I26</f>
        <v>427.5</v>
      </c>
      <c r="J33" s="399">
        <f t="shared" si="1"/>
        <v>427.5</v>
      </c>
      <c r="K33" s="399">
        <f t="shared" si="1"/>
        <v>427.5</v>
      </c>
      <c r="L33" s="399">
        <f t="shared" si="1"/>
        <v>213.75</v>
      </c>
      <c r="M33" s="115">
        <f t="shared" ref="M33:M38" si="2">SUM(B33:F33)+SUM(H33:L33)</f>
        <v>4488.75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410.03196125973375</v>
      </c>
      <c r="C34" s="96">
        <f t="shared" ref="C34:F34" si="3">C4*(SUM(C11:C17))</f>
        <v>401.51023437499998</v>
      </c>
      <c r="D34" s="96">
        <f t="shared" si="3"/>
        <v>412.20023437499992</v>
      </c>
      <c r="E34" s="96">
        <f t="shared" si="3"/>
        <v>399.26023437499998</v>
      </c>
      <c r="F34" s="96">
        <f t="shared" si="3"/>
        <v>324.72023437500002</v>
      </c>
      <c r="G34" s="3"/>
      <c r="H34" s="96">
        <f>H4*(SUM(H11:H17))</f>
        <v>410.03196125973375</v>
      </c>
      <c r="I34" s="96">
        <f t="shared" ref="I34:L34" si="4">I4*(SUM(I11:I17))</f>
        <v>401.51023437499998</v>
      </c>
      <c r="J34" s="96">
        <f t="shared" si="4"/>
        <v>412.20023437499992</v>
      </c>
      <c r="K34" s="96">
        <f t="shared" si="4"/>
        <v>399.26023437499998</v>
      </c>
      <c r="L34" s="96">
        <f t="shared" si="4"/>
        <v>324.72023437500002</v>
      </c>
      <c r="M34" s="115">
        <f t="shared" si="2"/>
        <v>3895.4457975194673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459.14778018665623</v>
      </c>
      <c r="C35" s="96">
        <f t="shared" ref="C35:F35" si="5">C4*SUM(C11:C21)</f>
        <v>449.10529049959757</v>
      </c>
      <c r="D35" s="96">
        <f t="shared" si="5"/>
        <v>465.88023437499993</v>
      </c>
      <c r="E35" s="96">
        <f t="shared" si="5"/>
        <v>449.64023437499998</v>
      </c>
      <c r="F35" s="96">
        <f t="shared" si="5"/>
        <v>369.54987953849553</v>
      </c>
      <c r="G35" s="3"/>
      <c r="H35" s="96">
        <f>H4*SUM(H11:H21)</f>
        <v>457.49701738433134</v>
      </c>
      <c r="I35" s="96">
        <f t="shared" ref="I35:L35" si="6">I4*SUM(I11:I21)</f>
        <v>447.4552904995976</v>
      </c>
      <c r="J35" s="96">
        <f t="shared" si="6"/>
        <v>458.73023437499995</v>
      </c>
      <c r="K35" s="96">
        <f t="shared" si="6"/>
        <v>442.490234375</v>
      </c>
      <c r="L35" s="96">
        <f t="shared" si="6"/>
        <v>369.54987953849553</v>
      </c>
      <c r="M35" s="115">
        <f t="shared" si="2"/>
        <v>4369.0460751471728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</f>
        <v>497.65778018665623</v>
      </c>
      <c r="C36" s="96">
        <f t="shared" ref="C36:F36" si="7">C4*(SUM(C11:C21)+SUM(C22:C25))</f>
        <v>487.16529049959757</v>
      </c>
      <c r="D36" s="96">
        <f t="shared" si="7"/>
        <v>504.69023437499993</v>
      </c>
      <c r="E36" s="96">
        <f t="shared" si="7"/>
        <v>487.72023437499996</v>
      </c>
      <c r="F36" s="96">
        <f t="shared" si="7"/>
        <v>395.10987953849553</v>
      </c>
      <c r="G36" s="3"/>
      <c r="H36" s="96">
        <f>H4*(SUM(H11:H21)+SUM(H22:H25))</f>
        <v>495.93701738433134</v>
      </c>
      <c r="I36" s="96">
        <f t="shared" ref="I36:L36" si="8">I4*(SUM(I11:I21)+SUM(I22:I25))</f>
        <v>485.4452904995976</v>
      </c>
      <c r="J36" s="96">
        <f t="shared" si="8"/>
        <v>497.22023437499996</v>
      </c>
      <c r="K36" s="96">
        <f t="shared" si="8"/>
        <v>480.25023437499999</v>
      </c>
      <c r="L36" s="96">
        <f t="shared" si="8"/>
        <v>395.10987953849553</v>
      </c>
      <c r="M36" s="115">
        <f t="shared" si="2"/>
        <v>4726.3060751471739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>B4*SUM(B28:B30)</f>
        <v>111.67</v>
      </c>
      <c r="C37" s="96">
        <f t="shared" ref="C37:F37" si="9">C4*SUM(C28:C30)</f>
        <v>101.3</v>
      </c>
      <c r="D37" s="96">
        <f t="shared" si="9"/>
        <v>178.82999999999998</v>
      </c>
      <c r="E37" s="96">
        <f t="shared" si="9"/>
        <v>156.32</v>
      </c>
      <c r="F37" s="96">
        <f t="shared" si="9"/>
        <v>73.309999999999988</v>
      </c>
      <c r="G37" s="3"/>
      <c r="H37" s="96">
        <f>H4*SUM(H28:H30)</f>
        <v>93.9</v>
      </c>
      <c r="I37" s="96">
        <f t="shared" ref="I37:L37" si="10">I4*SUM(I28:I30)</f>
        <v>83.53</v>
      </c>
      <c r="J37" s="96">
        <f t="shared" si="10"/>
        <v>95.82</v>
      </c>
      <c r="K37" s="96">
        <f t="shared" si="10"/>
        <v>73.309999999999988</v>
      </c>
      <c r="L37" s="96">
        <f t="shared" si="10"/>
        <v>73.309999999999988</v>
      </c>
      <c r="M37" s="115">
        <f t="shared" si="2"/>
        <v>1041.2999999999997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609.32778018665624</v>
      </c>
      <c r="C38" s="96">
        <f t="shared" ref="C38:F38" si="11">SUM(C36:C37)</f>
        <v>588.46529049959759</v>
      </c>
      <c r="D38" s="96">
        <f t="shared" si="11"/>
        <v>683.52023437499997</v>
      </c>
      <c r="E38" s="96">
        <f t="shared" si="11"/>
        <v>644.04023437499995</v>
      </c>
      <c r="F38" s="96">
        <f t="shared" si="11"/>
        <v>468.41987953849554</v>
      </c>
      <c r="G38" s="3"/>
      <c r="H38" s="96">
        <f>SUM(H36:H37)</f>
        <v>589.83701738433138</v>
      </c>
      <c r="I38" s="96">
        <f t="shared" ref="I38:L38" si="12">SUM(I36:I37)</f>
        <v>568.97529049959758</v>
      </c>
      <c r="J38" s="96">
        <f t="shared" si="12"/>
        <v>593.04023437499995</v>
      </c>
      <c r="K38" s="96">
        <f t="shared" si="12"/>
        <v>553.56023437499994</v>
      </c>
      <c r="L38" s="96">
        <f t="shared" si="12"/>
        <v>468.41987953849554</v>
      </c>
      <c r="M38" s="115">
        <f t="shared" si="2"/>
        <v>5767.6060751471741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-39.327780186656241</v>
      </c>
      <c r="C39" s="97">
        <f t="shared" ref="C39:F39" si="13">(C4*C6*C7*C8)-C26-C38</f>
        <v>-18.465290499597586</v>
      </c>
      <c r="D39" s="97">
        <f t="shared" si="13"/>
        <v>-113.52023437499997</v>
      </c>
      <c r="E39" s="97">
        <f t="shared" si="13"/>
        <v>-74.040234374999955</v>
      </c>
      <c r="F39" s="97">
        <f t="shared" si="13"/>
        <v>-183.41987953849554</v>
      </c>
      <c r="G39" s="412"/>
      <c r="H39" s="97">
        <f>(H4*H6*H7*H8)-H26-H38</f>
        <v>-162.33701738433138</v>
      </c>
      <c r="I39" s="97">
        <f t="shared" ref="I39:L39" si="14">(I4*I6*I7*I8)-I26-I38</f>
        <v>-141.47529049959758</v>
      </c>
      <c r="J39" s="97">
        <f t="shared" si="14"/>
        <v>-165.54023437499995</v>
      </c>
      <c r="K39" s="97">
        <f t="shared" si="14"/>
        <v>-126.06023437499994</v>
      </c>
      <c r="L39" s="97">
        <f t="shared" si="14"/>
        <v>-254.66987953849554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18.280762802324865</v>
      </c>
      <c r="C41" s="395">
        <f t="shared" ref="C41:F41" si="15">C20*C4</f>
        <v>16.760000000000002</v>
      </c>
      <c r="D41" s="395">
        <f t="shared" si="15"/>
        <v>24.87</v>
      </c>
      <c r="E41" s="395">
        <f t="shared" si="15"/>
        <v>21.57</v>
      </c>
      <c r="F41" s="395">
        <f t="shared" si="15"/>
        <v>14.41935846087924</v>
      </c>
      <c r="G41" s="2"/>
      <c r="H41" s="395">
        <f>H20*H4</f>
        <v>16.63</v>
      </c>
      <c r="I41" s="395">
        <f t="shared" ref="I41:L41" si="16">I20*I4</f>
        <v>15.11</v>
      </c>
      <c r="J41" s="395">
        <f t="shared" si="16"/>
        <v>17.72</v>
      </c>
      <c r="K41" s="395">
        <f t="shared" si="16"/>
        <v>14.42</v>
      </c>
      <c r="L41" s="395">
        <f t="shared" si="16"/>
        <v>14.41935846087924</v>
      </c>
      <c r="M41" s="396">
        <f>SUM(B41:F41)+SUM(H41:L41)</f>
        <v>174.19947972408335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9.8350561245976156</v>
      </c>
      <c r="C42" s="395">
        <f t="shared" ref="C42:F42" si="17">C21*C4</f>
        <v>9.8350561245976156</v>
      </c>
      <c r="D42" s="395">
        <f t="shared" si="17"/>
        <v>7.81</v>
      </c>
      <c r="E42" s="395">
        <f t="shared" si="17"/>
        <v>7.81</v>
      </c>
      <c r="F42" s="395">
        <f t="shared" si="17"/>
        <v>6.4102867026162684</v>
      </c>
      <c r="G42" s="2"/>
      <c r="H42" s="395">
        <f>H21*H4</f>
        <v>9.8350561245976156</v>
      </c>
      <c r="I42" s="395">
        <f t="shared" ref="I42:L42" si="18">I21*I4</f>
        <v>9.8350561245976156</v>
      </c>
      <c r="J42" s="395">
        <f t="shared" si="18"/>
        <v>7.81</v>
      </c>
      <c r="K42" s="395">
        <f t="shared" si="18"/>
        <v>7.81</v>
      </c>
      <c r="L42" s="395">
        <f t="shared" si="18"/>
        <v>6.4102867026162684</v>
      </c>
      <c r="M42" s="396">
        <f>SUM(B42:F42)+SUM(H42:L42)</f>
        <v>83.400797903623001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48"/>
  <sheetViews>
    <sheetView workbookViewId="0"/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340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46"/>
      <c r="M1" s="428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customHeight="1" x14ac:dyDescent="0.25">
      <c r="A2" s="44" t="s">
        <v>47</v>
      </c>
      <c r="B2" s="590" t="s">
        <v>306</v>
      </c>
      <c r="C2" s="591"/>
      <c r="D2" s="592" t="s">
        <v>308</v>
      </c>
      <c r="E2" s="592"/>
      <c r="F2" s="557" t="s">
        <v>307</v>
      </c>
      <c r="G2" s="29"/>
      <c r="H2" s="590" t="s">
        <v>306</v>
      </c>
      <c r="I2" s="591"/>
      <c r="J2" s="592" t="s">
        <v>308</v>
      </c>
      <c r="K2" s="592"/>
      <c r="L2" s="557" t="s">
        <v>307</v>
      </c>
      <c r="M2" s="426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21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21</v>
      </c>
      <c r="M3" s="426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425">
        <v>1</v>
      </c>
      <c r="M4" s="426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19"/>
      <c r="M5" s="426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>
        <v>190</v>
      </c>
      <c r="C6" s="33">
        <v>190</v>
      </c>
      <c r="D6" s="33">
        <v>190</v>
      </c>
      <c r="E6" s="33">
        <v>190</v>
      </c>
      <c r="F6" s="33">
        <v>170</v>
      </c>
      <c r="G6" s="4"/>
      <c r="H6" s="33">
        <v>190</v>
      </c>
      <c r="I6" s="33">
        <v>190</v>
      </c>
      <c r="J6" s="33">
        <v>190</v>
      </c>
      <c r="K6" s="33">
        <v>190</v>
      </c>
      <c r="L6" s="52">
        <v>170</v>
      </c>
      <c r="M6" s="426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>
        <v>6</v>
      </c>
      <c r="C7" s="24">
        <v>6</v>
      </c>
      <c r="D7" s="24">
        <v>6</v>
      </c>
      <c r="E7" s="24">
        <v>6</v>
      </c>
      <c r="F7" s="24">
        <v>6</v>
      </c>
      <c r="G7" s="5"/>
      <c r="H7" s="24">
        <v>6</v>
      </c>
      <c r="I7" s="24">
        <v>6</v>
      </c>
      <c r="J7" s="24">
        <v>6</v>
      </c>
      <c r="K7" s="24">
        <v>6</v>
      </c>
      <c r="L7" s="24">
        <v>6</v>
      </c>
      <c r="M7" s="42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26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22"/>
      <c r="I9" s="22"/>
      <c r="J9" s="22"/>
      <c r="K9" s="22"/>
      <c r="L9" s="22"/>
      <c r="M9" s="42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555"/>
      <c r="C10" s="554"/>
      <c r="D10" s="554"/>
      <c r="E10" s="554"/>
      <c r="F10" s="554"/>
      <c r="G10" s="5"/>
      <c r="H10" s="555"/>
      <c r="I10" s="554"/>
      <c r="J10" s="554"/>
      <c r="K10" s="554"/>
      <c r="L10" s="554"/>
      <c r="M10" s="42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160</v>
      </c>
      <c r="C11" s="553">
        <v>160</v>
      </c>
      <c r="D11" s="553">
        <v>182</v>
      </c>
      <c r="E11" s="553">
        <v>182</v>
      </c>
      <c r="F11" s="553">
        <v>45.36</v>
      </c>
      <c r="G11" s="5"/>
      <c r="H11" s="553">
        <v>160</v>
      </c>
      <c r="I11" s="553">
        <v>160</v>
      </c>
      <c r="J11" s="553">
        <v>182</v>
      </c>
      <c r="K11" s="553">
        <v>182</v>
      </c>
      <c r="L11" s="558">
        <v>45.36</v>
      </c>
      <c r="M11" s="426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149.45920000000001</v>
      </c>
      <c r="C12" s="553">
        <v>149.45920000000001</v>
      </c>
      <c r="D12" s="553">
        <v>149.45920000000001</v>
      </c>
      <c r="E12" s="553">
        <v>149.45920000000001</v>
      </c>
      <c r="F12" s="553">
        <v>148.36660000000001</v>
      </c>
      <c r="G12" s="5"/>
      <c r="H12" s="553">
        <v>149.45920000000001</v>
      </c>
      <c r="I12" s="553">
        <v>149.45920000000001</v>
      </c>
      <c r="J12" s="553">
        <v>149.45920000000001</v>
      </c>
      <c r="K12" s="553">
        <v>149.45920000000001</v>
      </c>
      <c r="L12" s="558">
        <v>148.36660000000001</v>
      </c>
      <c r="M12" s="426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146.42218749999998</v>
      </c>
      <c r="C13" s="553">
        <v>146.42218749999998</v>
      </c>
      <c r="D13" s="553">
        <v>124.99875000000002</v>
      </c>
      <c r="E13" s="553">
        <v>124.99875000000002</v>
      </c>
      <c r="F13" s="553">
        <v>151.98249999999999</v>
      </c>
      <c r="G13" s="5"/>
      <c r="H13" s="553">
        <v>146.42218749999998</v>
      </c>
      <c r="I13" s="553">
        <v>146.42218749999998</v>
      </c>
      <c r="J13" s="553">
        <v>124.99875000000002</v>
      </c>
      <c r="K13" s="553">
        <v>124.99875000000002</v>
      </c>
      <c r="L13" s="558">
        <v>151.98249999999999</v>
      </c>
      <c r="M13" s="426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87</v>
      </c>
      <c r="C14" s="553">
        <v>87</v>
      </c>
      <c r="D14" s="553">
        <v>97</v>
      </c>
      <c r="E14" s="553">
        <v>97</v>
      </c>
      <c r="F14" s="553">
        <v>97</v>
      </c>
      <c r="G14" s="5"/>
      <c r="H14" s="553">
        <v>87</v>
      </c>
      <c r="I14" s="553">
        <v>87</v>
      </c>
      <c r="J14" s="553">
        <v>97</v>
      </c>
      <c r="K14" s="553">
        <v>97</v>
      </c>
      <c r="L14" s="558">
        <v>97</v>
      </c>
      <c r="M14" s="426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24">
        <v>0.65</v>
      </c>
      <c r="C15" s="24">
        <v>0.65</v>
      </c>
      <c r="D15" s="24">
        <v>0.65</v>
      </c>
      <c r="E15" s="24">
        <v>0.65</v>
      </c>
      <c r="F15" s="24">
        <v>0.65</v>
      </c>
      <c r="G15" s="5"/>
      <c r="H15" s="24">
        <v>0.65</v>
      </c>
      <c r="I15" s="24">
        <v>0.65</v>
      </c>
      <c r="J15" s="24">
        <v>0.65</v>
      </c>
      <c r="K15" s="24">
        <v>0.65</v>
      </c>
      <c r="L15" s="53">
        <v>0.65</v>
      </c>
      <c r="M15" s="426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24">
        <v>20.75</v>
      </c>
      <c r="C16" s="24">
        <v>20.75</v>
      </c>
      <c r="D16" s="553">
        <v>20.75054871220193</v>
      </c>
      <c r="E16" s="553">
        <v>20.75054871220193</v>
      </c>
      <c r="F16" s="24">
        <v>20.75</v>
      </c>
      <c r="G16" s="5"/>
      <c r="H16" s="24">
        <v>20.75</v>
      </c>
      <c r="I16" s="24">
        <v>20.75</v>
      </c>
      <c r="J16" s="553">
        <v>20.75054871220193</v>
      </c>
      <c r="K16" s="553">
        <v>20.75054871220193</v>
      </c>
      <c r="L16" s="53">
        <v>20.75</v>
      </c>
      <c r="M16" s="426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24">
        <v>99.22</v>
      </c>
      <c r="C17" s="24">
        <v>77.900000000000006</v>
      </c>
      <c r="D17" s="553">
        <v>99.21501052631578</v>
      </c>
      <c r="E17" s="24">
        <v>77.900000000000006</v>
      </c>
      <c r="F17" s="24">
        <v>99.22</v>
      </c>
      <c r="G17" s="5"/>
      <c r="H17" s="24">
        <v>99.22</v>
      </c>
      <c r="I17" s="24">
        <v>77.900000000000006</v>
      </c>
      <c r="J17" s="553">
        <v>99.21501052631578</v>
      </c>
      <c r="K17" s="24">
        <v>77.900000000000006</v>
      </c>
      <c r="L17" s="53">
        <v>99.22</v>
      </c>
      <c r="M17" s="426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553">
        <v>12.5</v>
      </c>
      <c r="C18" s="553">
        <v>12.5</v>
      </c>
      <c r="D18" s="553">
        <v>12.5</v>
      </c>
      <c r="E18" s="553">
        <v>12.5</v>
      </c>
      <c r="F18" s="553">
        <v>12.5</v>
      </c>
      <c r="G18" s="5"/>
      <c r="H18" s="553">
        <v>12.5</v>
      </c>
      <c r="I18" s="553">
        <v>12.5</v>
      </c>
      <c r="J18" s="553">
        <v>12.5</v>
      </c>
      <c r="K18" s="553">
        <v>12.5</v>
      </c>
      <c r="L18" s="53">
        <v>12.5</v>
      </c>
      <c r="M18" s="426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553">
        <v>32</v>
      </c>
      <c r="C19" s="553">
        <v>32</v>
      </c>
      <c r="D19" s="553">
        <v>32</v>
      </c>
      <c r="E19" s="553">
        <v>32</v>
      </c>
      <c r="F19" s="553">
        <v>32</v>
      </c>
      <c r="G19" s="5"/>
      <c r="H19" s="553">
        <v>32</v>
      </c>
      <c r="I19" s="553">
        <v>32</v>
      </c>
      <c r="J19" s="553">
        <v>32</v>
      </c>
      <c r="K19" s="553">
        <v>32</v>
      </c>
      <c r="L19" s="53">
        <v>32</v>
      </c>
      <c r="M19" s="426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24">
        <v>31.24</v>
      </c>
      <c r="C20" s="24">
        <v>27.44</v>
      </c>
      <c r="D20" s="553">
        <v>31.236288576020566</v>
      </c>
      <c r="E20" s="24">
        <v>27.44</v>
      </c>
      <c r="F20" s="553">
        <v>31.236288576020566</v>
      </c>
      <c r="G20" s="5"/>
      <c r="H20" s="24">
        <v>27.11</v>
      </c>
      <c r="I20" s="24">
        <v>23.31</v>
      </c>
      <c r="J20" s="24">
        <v>27.11</v>
      </c>
      <c r="K20" s="24">
        <v>23.31</v>
      </c>
      <c r="L20" s="53">
        <v>27.11</v>
      </c>
      <c r="M20" s="426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24">
        <v>55.27</v>
      </c>
      <c r="C21" s="24">
        <v>55.27</v>
      </c>
      <c r="D21" s="553">
        <v>55.267550669836567</v>
      </c>
      <c r="E21" s="24">
        <v>55.27</v>
      </c>
      <c r="F21" s="553">
        <v>56.313710669836567</v>
      </c>
      <c r="G21" s="5"/>
      <c r="H21" s="24">
        <v>55.27</v>
      </c>
      <c r="I21" s="24">
        <v>55.27</v>
      </c>
      <c r="J21" s="553">
        <v>55.267550669836567</v>
      </c>
      <c r="K21" s="24">
        <v>55.27</v>
      </c>
      <c r="L21" s="53">
        <v>56.31</v>
      </c>
      <c r="M21" s="426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35.75</v>
      </c>
      <c r="C22" s="24">
        <v>34.619999999999997</v>
      </c>
      <c r="D22" s="24">
        <v>36.229999999999997</v>
      </c>
      <c r="E22" s="24">
        <v>35.1</v>
      </c>
      <c r="F22" s="24">
        <v>31.29</v>
      </c>
      <c r="G22" s="5"/>
      <c r="H22" s="24">
        <v>35.57</v>
      </c>
      <c r="I22" s="24">
        <v>34.44</v>
      </c>
      <c r="J22" s="24">
        <v>36.04</v>
      </c>
      <c r="K22" s="24">
        <v>34.909999999999997</v>
      </c>
      <c r="L22" s="53">
        <v>31.11</v>
      </c>
      <c r="M22" s="426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/>
      <c r="C23" s="24"/>
      <c r="D23" s="24"/>
      <c r="E23" s="24"/>
      <c r="F23" s="24"/>
      <c r="G23" s="5"/>
      <c r="H23" s="24"/>
      <c r="I23" s="24"/>
      <c r="J23" s="24"/>
      <c r="K23" s="24"/>
      <c r="L23" s="53"/>
      <c r="M23" s="426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>
        <v>123.5</v>
      </c>
      <c r="C24" s="24">
        <v>123.5</v>
      </c>
      <c r="D24" s="24">
        <v>123.5</v>
      </c>
      <c r="E24" s="24">
        <v>123.5</v>
      </c>
      <c r="F24" s="24">
        <v>110.5</v>
      </c>
      <c r="G24" s="5"/>
      <c r="H24" s="24">
        <v>123.5</v>
      </c>
      <c r="I24" s="24">
        <v>123.5</v>
      </c>
      <c r="J24" s="24">
        <v>123.5</v>
      </c>
      <c r="K24" s="24">
        <v>123.5</v>
      </c>
      <c r="L24" s="24">
        <v>110.5</v>
      </c>
      <c r="M24" s="426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2.57</v>
      </c>
      <c r="C25" s="24">
        <v>2.57</v>
      </c>
      <c r="D25" s="24">
        <v>2.57</v>
      </c>
      <c r="E25" s="24">
        <v>2.57</v>
      </c>
      <c r="F25" s="24">
        <v>2.2999999999999998</v>
      </c>
      <c r="G25" s="5"/>
      <c r="H25" s="24">
        <v>2.57</v>
      </c>
      <c r="I25" s="24">
        <v>2.57</v>
      </c>
      <c r="J25" s="24">
        <v>2.57</v>
      </c>
      <c r="K25" s="24">
        <v>2.57</v>
      </c>
      <c r="L25" s="24">
        <v>2.2999999999999998</v>
      </c>
      <c r="M25" s="426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/>
      <c r="C26" s="24"/>
      <c r="D26" s="24"/>
      <c r="E26" s="24"/>
      <c r="F26" s="24"/>
      <c r="G26" s="5"/>
      <c r="H26" s="24"/>
      <c r="I26" s="24"/>
      <c r="J26" s="24"/>
      <c r="K26" s="24"/>
      <c r="L26" s="53"/>
      <c r="M26" s="427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109.94</v>
      </c>
      <c r="C28" s="24">
        <v>109.94</v>
      </c>
      <c r="D28" s="24">
        <v>109.94</v>
      </c>
      <c r="E28" s="24">
        <v>109.94</v>
      </c>
      <c r="F28" s="24">
        <v>109.94</v>
      </c>
      <c r="G28" s="5"/>
      <c r="H28" s="24">
        <v>109.94</v>
      </c>
      <c r="I28" s="24">
        <v>109.94</v>
      </c>
      <c r="J28" s="24">
        <v>109.94</v>
      </c>
      <c r="K28" s="24">
        <v>109.94</v>
      </c>
      <c r="L28" s="24">
        <v>109.94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59.39</v>
      </c>
      <c r="C29" s="24">
        <v>34.04</v>
      </c>
      <c r="D29" s="24">
        <v>59.39</v>
      </c>
      <c r="E29" s="24">
        <v>34.04</v>
      </c>
      <c r="F29" s="24">
        <v>59.39</v>
      </c>
      <c r="G29" s="5"/>
      <c r="H29" s="24">
        <v>25.35</v>
      </c>
      <c r="I29" s="24">
        <v>0</v>
      </c>
      <c r="J29" s="24">
        <v>25.35</v>
      </c>
      <c r="K29" s="24">
        <v>0</v>
      </c>
      <c r="L29" s="24">
        <v>25.35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5.5</v>
      </c>
      <c r="C30" s="24">
        <v>5.5</v>
      </c>
      <c r="D30" s="24">
        <v>5.5</v>
      </c>
      <c r="E30" s="24">
        <v>5.5</v>
      </c>
      <c r="F30" s="24">
        <v>5.5</v>
      </c>
      <c r="G30" s="56"/>
      <c r="H30" s="24">
        <v>5.5</v>
      </c>
      <c r="I30" s="24">
        <v>5.5</v>
      </c>
      <c r="J30" s="24">
        <v>5.5</v>
      </c>
      <c r="K30" s="24">
        <v>5.5</v>
      </c>
      <c r="L30" s="24">
        <v>5.5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8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>(B4*B6*B7*B8)-B26</f>
        <v>1140</v>
      </c>
      <c r="C33" s="399">
        <f t="shared" ref="C33:F33" si="0">(C4*C6*C7*C8)-C26</f>
        <v>1140</v>
      </c>
      <c r="D33" s="399">
        <f t="shared" si="0"/>
        <v>1140</v>
      </c>
      <c r="E33" s="399">
        <f t="shared" si="0"/>
        <v>1140</v>
      </c>
      <c r="F33" s="399">
        <f t="shared" si="0"/>
        <v>1020</v>
      </c>
      <c r="G33" s="400"/>
      <c r="H33" s="399">
        <f>(H4*H6*H7*H8)-H26</f>
        <v>855</v>
      </c>
      <c r="I33" s="399">
        <f t="shared" ref="I33:L33" si="1">(I4*I6*I7*I8)-I26</f>
        <v>855</v>
      </c>
      <c r="J33" s="399">
        <f t="shared" si="1"/>
        <v>855</v>
      </c>
      <c r="K33" s="399">
        <f t="shared" si="1"/>
        <v>855</v>
      </c>
      <c r="L33" s="399">
        <f t="shared" si="1"/>
        <v>765</v>
      </c>
      <c r="M33" s="115">
        <f t="shared" ref="M33:M38" si="2">SUM(B33:F33)+SUM(H33:L33)</f>
        <v>9765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663.50138749999996</v>
      </c>
      <c r="C34" s="96">
        <f t="shared" ref="C34:F34" si="3">C4*(SUM(C11:C17))</f>
        <v>642.18138749999991</v>
      </c>
      <c r="D34" s="96">
        <f t="shared" si="3"/>
        <v>674.07350923851777</v>
      </c>
      <c r="E34" s="96">
        <f t="shared" si="3"/>
        <v>652.75849871220191</v>
      </c>
      <c r="F34" s="96">
        <f t="shared" si="3"/>
        <v>563.32910000000004</v>
      </c>
      <c r="G34" s="3"/>
      <c r="H34" s="96">
        <f>H4*(SUM(H11:H17))</f>
        <v>663.50138749999996</v>
      </c>
      <c r="I34" s="96">
        <f t="shared" ref="I34:L34" si="4">I4*(SUM(I11:I17))</f>
        <v>642.18138749999991</v>
      </c>
      <c r="J34" s="96">
        <f t="shared" si="4"/>
        <v>674.07350923851777</v>
      </c>
      <c r="K34" s="96">
        <f t="shared" si="4"/>
        <v>652.75849871220191</v>
      </c>
      <c r="L34" s="96">
        <f t="shared" si="4"/>
        <v>563.32910000000004</v>
      </c>
      <c r="M34" s="115">
        <f t="shared" si="2"/>
        <v>6391.687765901439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794.51138749999996</v>
      </c>
      <c r="C35" s="96">
        <f t="shared" ref="C35:F35" si="5">C4*SUM(C11:C21)</f>
        <v>769.39138749999995</v>
      </c>
      <c r="D35" s="96">
        <f t="shared" si="5"/>
        <v>805.07734848437485</v>
      </c>
      <c r="E35" s="96">
        <f t="shared" si="5"/>
        <v>779.96849871220195</v>
      </c>
      <c r="F35" s="96">
        <f t="shared" si="5"/>
        <v>695.37909924585722</v>
      </c>
      <c r="G35" s="3"/>
      <c r="H35" s="96">
        <f>H4*SUM(H11:H21)</f>
        <v>790.38138749999996</v>
      </c>
      <c r="I35" s="96">
        <f t="shared" ref="I35:L35" si="6">I4*SUM(I11:I21)</f>
        <v>765.26138749999984</v>
      </c>
      <c r="J35" s="96">
        <f t="shared" si="6"/>
        <v>800.95105990835441</v>
      </c>
      <c r="K35" s="96">
        <f t="shared" si="6"/>
        <v>775.83849871220184</v>
      </c>
      <c r="L35" s="96">
        <f t="shared" si="6"/>
        <v>691.2491</v>
      </c>
      <c r="M35" s="115">
        <f t="shared" si="2"/>
        <v>7668.0091550629895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</f>
        <v>956.33138749999989</v>
      </c>
      <c r="C36" s="96">
        <f t="shared" ref="C36:F36" si="7">C4*(SUM(C11:C21)+SUM(C22:C25))</f>
        <v>930.08138749999989</v>
      </c>
      <c r="D36" s="96">
        <f t="shared" si="7"/>
        <v>967.37734848437481</v>
      </c>
      <c r="E36" s="96">
        <f t="shared" si="7"/>
        <v>941.13849871220191</v>
      </c>
      <c r="F36" s="96">
        <f t="shared" si="7"/>
        <v>839.46909924585725</v>
      </c>
      <c r="G36" s="3"/>
      <c r="H36" s="96">
        <f>H4*(SUM(H11:H21)+SUM(H22:H25))</f>
        <v>952.02138749999995</v>
      </c>
      <c r="I36" s="96">
        <f t="shared" ref="I36:L36" si="8">I4*(SUM(I11:I21)+SUM(I22:I25))</f>
        <v>925.77138749999983</v>
      </c>
      <c r="J36" s="96">
        <f t="shared" si="8"/>
        <v>963.06105990835442</v>
      </c>
      <c r="K36" s="96">
        <f t="shared" si="8"/>
        <v>936.81849871220186</v>
      </c>
      <c r="L36" s="96">
        <f t="shared" si="8"/>
        <v>835.15910000000008</v>
      </c>
      <c r="M36" s="115">
        <f t="shared" si="2"/>
        <v>9247.2291550629889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>B4*SUM(B28:B30)</f>
        <v>174.82999999999998</v>
      </c>
      <c r="C37" s="96">
        <f t="shared" ref="C37:F37" si="9">C4*SUM(C28:C30)</f>
        <v>149.47999999999999</v>
      </c>
      <c r="D37" s="96">
        <f t="shared" si="9"/>
        <v>174.82999999999998</v>
      </c>
      <c r="E37" s="96">
        <f t="shared" si="9"/>
        <v>149.47999999999999</v>
      </c>
      <c r="F37" s="96">
        <f t="shared" si="9"/>
        <v>174.82999999999998</v>
      </c>
      <c r="G37" s="3"/>
      <c r="H37" s="96">
        <f>H4*SUM(H28:H30)</f>
        <v>140.79</v>
      </c>
      <c r="I37" s="96">
        <f t="shared" ref="I37:L37" si="10">I4*SUM(I28:I30)</f>
        <v>115.44</v>
      </c>
      <c r="J37" s="96">
        <f t="shared" si="10"/>
        <v>140.79</v>
      </c>
      <c r="K37" s="96">
        <f t="shared" si="10"/>
        <v>115.44</v>
      </c>
      <c r="L37" s="96">
        <f t="shared" si="10"/>
        <v>140.79</v>
      </c>
      <c r="M37" s="115">
        <f t="shared" si="2"/>
        <v>1476.6999999999998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1131.1613874999998</v>
      </c>
      <c r="C38" s="96">
        <f t="shared" ref="C38:F38" si="11">SUM(C36:C37)</f>
        <v>1079.5613874999999</v>
      </c>
      <c r="D38" s="96">
        <f t="shared" si="11"/>
        <v>1142.2073484843747</v>
      </c>
      <c r="E38" s="96">
        <f t="shared" si="11"/>
        <v>1090.6184987122019</v>
      </c>
      <c r="F38" s="96">
        <f t="shared" si="11"/>
        <v>1014.2990992458572</v>
      </c>
      <c r="G38" s="3"/>
      <c r="H38" s="96">
        <f>SUM(H36:H37)</f>
        <v>1092.8113874999999</v>
      </c>
      <c r="I38" s="96">
        <f t="shared" ref="I38:L38" si="12">SUM(I36:I37)</f>
        <v>1041.2113874999998</v>
      </c>
      <c r="J38" s="96">
        <f t="shared" si="12"/>
        <v>1103.8510599083545</v>
      </c>
      <c r="K38" s="96">
        <f t="shared" si="12"/>
        <v>1052.2584987122018</v>
      </c>
      <c r="L38" s="96">
        <f t="shared" si="12"/>
        <v>975.94910000000004</v>
      </c>
      <c r="M38" s="115">
        <f t="shared" si="2"/>
        <v>10723.92915506299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8.8386125000001812</v>
      </c>
      <c r="C39" s="97">
        <f t="shared" ref="C39:F39" si="13">(C4*C6*C7*C8)-C26-C38</f>
        <v>60.43861250000009</v>
      </c>
      <c r="D39" s="97">
        <f t="shared" si="13"/>
        <v>-2.2073484843747337</v>
      </c>
      <c r="E39" s="97">
        <f t="shared" si="13"/>
        <v>49.381501287798073</v>
      </c>
      <c r="F39" s="97">
        <f t="shared" si="13"/>
        <v>5.7009007541428218</v>
      </c>
      <c r="G39" s="412"/>
      <c r="H39" s="97">
        <f>(H4*H6*H7*H8)-H26-H38</f>
        <v>-237.81138749999991</v>
      </c>
      <c r="I39" s="97">
        <f t="shared" ref="I39:L39" si="14">(I4*I6*I7*I8)-I26-I38</f>
        <v>-186.21138749999977</v>
      </c>
      <c r="J39" s="97">
        <f t="shared" si="14"/>
        <v>-248.8510599083545</v>
      </c>
      <c r="K39" s="97">
        <f t="shared" si="14"/>
        <v>-197.2584987122018</v>
      </c>
      <c r="L39" s="97">
        <f t="shared" si="14"/>
        <v>-210.94910000000004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395"/>
      <c r="D40" s="395"/>
      <c r="E40" s="395"/>
      <c r="F40" s="395"/>
      <c r="G40" s="2"/>
      <c r="H40" s="395"/>
      <c r="I40" s="395"/>
      <c r="J40" s="395"/>
      <c r="K40" s="395"/>
      <c r="L40" s="395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31.24</v>
      </c>
      <c r="C41" s="395">
        <f t="shared" ref="C41:F41" si="15">C20*C4</f>
        <v>27.44</v>
      </c>
      <c r="D41" s="395">
        <f t="shared" si="15"/>
        <v>31.236288576020566</v>
      </c>
      <c r="E41" s="395">
        <f t="shared" si="15"/>
        <v>27.44</v>
      </c>
      <c r="F41" s="395">
        <f t="shared" si="15"/>
        <v>31.236288576020566</v>
      </c>
      <c r="G41" s="2"/>
      <c r="H41" s="395">
        <f>H20*H4</f>
        <v>27.11</v>
      </c>
      <c r="I41" s="395">
        <f t="shared" ref="I41:L41" si="16">I20*I4</f>
        <v>23.31</v>
      </c>
      <c r="J41" s="395">
        <f t="shared" si="16"/>
        <v>27.11</v>
      </c>
      <c r="K41" s="395">
        <f t="shared" si="16"/>
        <v>23.31</v>
      </c>
      <c r="L41" s="395">
        <f t="shared" si="16"/>
        <v>27.11</v>
      </c>
      <c r="M41" s="396">
        <f>SUM(B41:F41)+SUM(H41:L41)</f>
        <v>276.54257715204113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55.27</v>
      </c>
      <c r="C42" s="395">
        <f t="shared" ref="C42:F42" si="17">C21*C4</f>
        <v>55.27</v>
      </c>
      <c r="D42" s="395">
        <f t="shared" si="17"/>
        <v>55.267550669836567</v>
      </c>
      <c r="E42" s="395">
        <f t="shared" si="17"/>
        <v>55.27</v>
      </c>
      <c r="F42" s="395">
        <f t="shared" si="17"/>
        <v>56.313710669836567</v>
      </c>
      <c r="G42" s="2"/>
      <c r="H42" s="395">
        <f>H21*H4</f>
        <v>55.27</v>
      </c>
      <c r="I42" s="395">
        <f t="shared" ref="I42:L42" si="18">I21*I4</f>
        <v>55.27</v>
      </c>
      <c r="J42" s="395">
        <f t="shared" si="18"/>
        <v>55.267550669836567</v>
      </c>
      <c r="K42" s="395">
        <f t="shared" si="18"/>
        <v>55.27</v>
      </c>
      <c r="L42" s="395">
        <f t="shared" si="18"/>
        <v>56.31</v>
      </c>
      <c r="M42" s="396">
        <f>SUM(B42:F42)+SUM(H42:L42)</f>
        <v>554.77881200950981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mergeCells count="4">
    <mergeCell ref="B2:C2"/>
    <mergeCell ref="D2:E2"/>
    <mergeCell ref="H2:I2"/>
    <mergeCell ref="J2:K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48"/>
  <sheetViews>
    <sheetView workbookViewId="0">
      <selection activeCell="B6" sqref="B6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341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46"/>
      <c r="M1" s="428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customHeight="1" x14ac:dyDescent="0.25">
      <c r="A2" s="44" t="s">
        <v>47</v>
      </c>
      <c r="B2" s="590" t="s">
        <v>306</v>
      </c>
      <c r="C2" s="591"/>
      <c r="D2" s="592" t="s">
        <v>306</v>
      </c>
      <c r="E2" s="592"/>
      <c r="F2" s="557" t="s">
        <v>307</v>
      </c>
      <c r="G2" s="29"/>
      <c r="H2" s="590" t="s">
        <v>306</v>
      </c>
      <c r="I2" s="591"/>
      <c r="J2" s="592" t="s">
        <v>306</v>
      </c>
      <c r="K2" s="592"/>
      <c r="L2" s="557" t="s">
        <v>307</v>
      </c>
      <c r="M2" s="426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21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21</v>
      </c>
      <c r="M3" s="426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425">
        <v>1</v>
      </c>
      <c r="M4" s="426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19"/>
      <c r="M5" s="426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>
        <v>190</v>
      </c>
      <c r="C6" s="33">
        <v>190</v>
      </c>
      <c r="D6" s="33"/>
      <c r="E6" s="33"/>
      <c r="F6" s="33">
        <v>170</v>
      </c>
      <c r="G6" s="4"/>
      <c r="H6" s="33">
        <v>190</v>
      </c>
      <c r="I6" s="33">
        <v>190</v>
      </c>
      <c r="J6" s="33"/>
      <c r="K6" s="33"/>
      <c r="L6" s="33">
        <v>170</v>
      </c>
      <c r="M6" s="426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>
        <v>6</v>
      </c>
      <c r="C7" s="24">
        <v>6</v>
      </c>
      <c r="D7" s="24"/>
      <c r="E7" s="24"/>
      <c r="F7" s="24">
        <v>6</v>
      </c>
      <c r="G7" s="5"/>
      <c r="H7" s="24">
        <v>6</v>
      </c>
      <c r="I7" s="24">
        <v>6</v>
      </c>
      <c r="J7" s="24"/>
      <c r="K7" s="24"/>
      <c r="L7" s="24">
        <v>6</v>
      </c>
      <c r="M7" s="42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26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22"/>
      <c r="I9" s="22"/>
      <c r="J9" s="22"/>
      <c r="K9" s="22"/>
      <c r="L9" s="22"/>
      <c r="M9" s="42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555"/>
      <c r="C10" s="554"/>
      <c r="D10" s="554"/>
      <c r="E10" s="554"/>
      <c r="F10" s="554"/>
      <c r="G10" s="5"/>
      <c r="H10" s="555"/>
      <c r="I10" s="554"/>
      <c r="J10" s="554"/>
      <c r="K10" s="554"/>
      <c r="L10" s="554"/>
      <c r="M10" s="42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163.0035</v>
      </c>
      <c r="C11" s="553">
        <v>163.0035</v>
      </c>
      <c r="D11" s="24"/>
      <c r="E11" s="24"/>
      <c r="F11" s="553">
        <v>45.36</v>
      </c>
      <c r="G11" s="5"/>
      <c r="H11" s="553">
        <v>163.0035</v>
      </c>
      <c r="I11" s="553">
        <v>163.0035</v>
      </c>
      <c r="J11" s="24"/>
      <c r="K11" s="24"/>
      <c r="L11" s="558">
        <v>45.36</v>
      </c>
      <c r="M11" s="426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149.45920000000001</v>
      </c>
      <c r="C12" s="553">
        <v>149.45920000000001</v>
      </c>
      <c r="D12" s="24"/>
      <c r="E12" s="24"/>
      <c r="F12" s="553">
        <v>148.36660000000001</v>
      </c>
      <c r="G12" s="5"/>
      <c r="H12" s="553">
        <v>149.45920000000001</v>
      </c>
      <c r="I12" s="553">
        <v>149.45920000000001</v>
      </c>
      <c r="J12" s="24"/>
      <c r="K12" s="24"/>
      <c r="L12" s="558">
        <v>148.36660000000001</v>
      </c>
      <c r="M12" s="426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146.42218749999998</v>
      </c>
      <c r="C13" s="553">
        <v>146.42218749999998</v>
      </c>
      <c r="D13" s="24"/>
      <c r="E13" s="24"/>
      <c r="F13" s="553">
        <v>151.98249999999999</v>
      </c>
      <c r="G13" s="5"/>
      <c r="H13" s="553">
        <v>146.42218749999998</v>
      </c>
      <c r="I13" s="553">
        <v>146.42218749999998</v>
      </c>
      <c r="J13" s="24"/>
      <c r="K13" s="24"/>
      <c r="L13" s="558">
        <v>151.98249999999999</v>
      </c>
      <c r="M13" s="426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87</v>
      </c>
      <c r="C14" s="553">
        <v>87</v>
      </c>
      <c r="D14" s="24"/>
      <c r="E14" s="24"/>
      <c r="F14" s="553">
        <v>97</v>
      </c>
      <c r="G14" s="5"/>
      <c r="H14" s="553">
        <v>87</v>
      </c>
      <c r="I14" s="553">
        <v>87</v>
      </c>
      <c r="J14" s="24"/>
      <c r="K14" s="24"/>
      <c r="L14" s="558">
        <v>97</v>
      </c>
      <c r="M14" s="426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24">
        <v>0.65</v>
      </c>
      <c r="C15" s="24">
        <v>0.65</v>
      </c>
      <c r="D15" s="24"/>
      <c r="E15" s="24"/>
      <c r="F15" s="24">
        <v>0.65</v>
      </c>
      <c r="G15" s="5"/>
      <c r="H15" s="24">
        <v>0.65</v>
      </c>
      <c r="I15" s="24">
        <v>0.65</v>
      </c>
      <c r="J15" s="24"/>
      <c r="K15" s="24"/>
      <c r="L15" s="53">
        <v>0.65</v>
      </c>
      <c r="M15" s="426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24">
        <v>20.75</v>
      </c>
      <c r="C16" s="24">
        <v>20.75</v>
      </c>
      <c r="D16" s="24"/>
      <c r="E16" s="24"/>
      <c r="F16" s="24">
        <v>20.75</v>
      </c>
      <c r="G16" s="5"/>
      <c r="H16" s="24">
        <v>20.75</v>
      </c>
      <c r="I16" s="24">
        <v>20.75</v>
      </c>
      <c r="J16" s="24"/>
      <c r="K16" s="24"/>
      <c r="L16" s="53">
        <v>20.75</v>
      </c>
      <c r="M16" s="426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24">
        <v>99.22</v>
      </c>
      <c r="C17" s="24">
        <v>77.900000000000006</v>
      </c>
      <c r="D17" s="24"/>
      <c r="E17" s="24"/>
      <c r="F17" s="24">
        <v>99.22</v>
      </c>
      <c r="G17" s="5"/>
      <c r="H17" s="24">
        <v>99.22</v>
      </c>
      <c r="I17" s="24">
        <v>77.900000000000006</v>
      </c>
      <c r="J17" s="24"/>
      <c r="K17" s="24"/>
      <c r="L17" s="53">
        <v>99.22</v>
      </c>
      <c r="M17" s="426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24">
        <v>12.5</v>
      </c>
      <c r="C18" s="24">
        <v>12.5</v>
      </c>
      <c r="D18" s="24"/>
      <c r="E18" s="24"/>
      <c r="F18" s="553">
        <v>12.5</v>
      </c>
      <c r="G18" s="5"/>
      <c r="H18" s="24">
        <v>12.5</v>
      </c>
      <c r="I18" s="24">
        <v>12.5</v>
      </c>
      <c r="J18" s="24"/>
      <c r="K18" s="24"/>
      <c r="L18" s="53">
        <v>12.5</v>
      </c>
      <c r="M18" s="426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24">
        <v>32</v>
      </c>
      <c r="C19" s="24">
        <v>32</v>
      </c>
      <c r="D19" s="24"/>
      <c r="E19" s="24"/>
      <c r="F19" s="553">
        <v>32</v>
      </c>
      <c r="G19" s="5"/>
      <c r="H19" s="24">
        <v>32</v>
      </c>
      <c r="I19" s="24">
        <v>32</v>
      </c>
      <c r="J19" s="24"/>
      <c r="K19" s="24"/>
      <c r="L19" s="53">
        <v>32</v>
      </c>
      <c r="M19" s="426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24">
        <v>31.24</v>
      </c>
      <c r="C20" s="24">
        <v>27.44</v>
      </c>
      <c r="D20" s="24"/>
      <c r="E20" s="24"/>
      <c r="F20" s="553">
        <v>31.236288576020566</v>
      </c>
      <c r="G20" s="5"/>
      <c r="H20" s="24">
        <v>27.11</v>
      </c>
      <c r="I20" s="24">
        <v>23.31</v>
      </c>
      <c r="J20" s="24"/>
      <c r="K20" s="24"/>
      <c r="L20" s="53">
        <v>27.11</v>
      </c>
      <c r="M20" s="426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24">
        <v>55.27</v>
      </c>
      <c r="C21" s="24">
        <v>55.27</v>
      </c>
      <c r="D21" s="24"/>
      <c r="E21" s="24"/>
      <c r="F21" s="553">
        <v>56.313710669836567</v>
      </c>
      <c r="G21" s="5"/>
      <c r="H21" s="24">
        <v>55.27</v>
      </c>
      <c r="I21" s="24">
        <v>55.27</v>
      </c>
      <c r="J21" s="24"/>
      <c r="K21" s="24"/>
      <c r="L21" s="53">
        <v>56.31</v>
      </c>
      <c r="M21" s="426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35.89</v>
      </c>
      <c r="C22" s="24">
        <v>34.76</v>
      </c>
      <c r="D22" s="24"/>
      <c r="E22" s="24"/>
      <c r="F22" s="24">
        <v>31.29</v>
      </c>
      <c r="G22" s="5"/>
      <c r="H22" s="24">
        <v>35.700000000000003</v>
      </c>
      <c r="I22" s="24">
        <v>34.57</v>
      </c>
      <c r="J22" s="24"/>
      <c r="K22" s="24"/>
      <c r="L22" s="53">
        <v>31.11</v>
      </c>
      <c r="M22" s="426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/>
      <c r="C23" s="24"/>
      <c r="D23" s="24"/>
      <c r="E23" s="24"/>
      <c r="F23" s="24"/>
      <c r="G23" s="5"/>
      <c r="H23" s="24"/>
      <c r="I23" s="24"/>
      <c r="J23" s="24"/>
      <c r="K23" s="24"/>
      <c r="L23" s="53"/>
      <c r="M23" s="426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>
        <v>123.5</v>
      </c>
      <c r="C24" s="24">
        <v>123.5</v>
      </c>
      <c r="D24" s="24"/>
      <c r="E24" s="24"/>
      <c r="F24" s="24">
        <v>110.5</v>
      </c>
      <c r="G24" s="5"/>
      <c r="H24" s="24">
        <v>123.5</v>
      </c>
      <c r="I24" s="24">
        <v>123.5</v>
      </c>
      <c r="J24" s="24"/>
      <c r="K24" s="24"/>
      <c r="L24" s="24">
        <v>110.5</v>
      </c>
      <c r="M24" s="426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2.57</v>
      </c>
      <c r="C25" s="24">
        <v>2.57</v>
      </c>
      <c r="D25" s="24"/>
      <c r="E25" s="24"/>
      <c r="F25" s="24">
        <v>2.2999999999999998</v>
      </c>
      <c r="G25" s="5"/>
      <c r="H25" s="24">
        <v>2.57</v>
      </c>
      <c r="I25" s="24">
        <v>2.57</v>
      </c>
      <c r="J25" s="24"/>
      <c r="K25" s="24"/>
      <c r="L25" s="24">
        <v>2.2999999999999998</v>
      </c>
      <c r="M25" s="426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/>
      <c r="C26" s="24"/>
      <c r="D26" s="24"/>
      <c r="E26" s="24"/>
      <c r="F26" s="24"/>
      <c r="G26" s="5"/>
      <c r="H26" s="24"/>
      <c r="I26" s="24"/>
      <c r="J26" s="24"/>
      <c r="K26" s="24"/>
      <c r="L26" s="53"/>
      <c r="M26" s="427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109.94</v>
      </c>
      <c r="C28" s="24">
        <v>109.94</v>
      </c>
      <c r="D28" s="24"/>
      <c r="E28" s="24"/>
      <c r="F28" s="24">
        <v>109.94</v>
      </c>
      <c r="G28" s="5"/>
      <c r="H28" s="24">
        <v>109.94</v>
      </c>
      <c r="I28" s="24">
        <v>109.94</v>
      </c>
      <c r="J28" s="24"/>
      <c r="K28" s="24"/>
      <c r="L28" s="24">
        <v>109.94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59.39</v>
      </c>
      <c r="C29" s="24">
        <v>34.04</v>
      </c>
      <c r="D29" s="24"/>
      <c r="E29" s="24"/>
      <c r="F29" s="24">
        <v>59.39</v>
      </c>
      <c r="G29" s="5"/>
      <c r="H29" s="24">
        <v>25.35</v>
      </c>
      <c r="I29" s="24">
        <v>0</v>
      </c>
      <c r="J29" s="24"/>
      <c r="K29" s="24"/>
      <c r="L29" s="24">
        <v>25.35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5.5</v>
      </c>
      <c r="C30" s="24">
        <v>5.5</v>
      </c>
      <c r="D30" s="24"/>
      <c r="E30" s="24"/>
      <c r="F30" s="24">
        <v>5.5</v>
      </c>
      <c r="G30" s="56"/>
      <c r="H30" s="24">
        <v>5.5</v>
      </c>
      <c r="I30" s="24">
        <v>5.5</v>
      </c>
      <c r="J30" s="24"/>
      <c r="K30" s="24"/>
      <c r="L30" s="24">
        <v>5.5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8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>(B4*B6*B7*B8)-B26</f>
        <v>1140</v>
      </c>
      <c r="C33" s="399">
        <f t="shared" ref="C33:F33" si="0">(C4*C6*C7*C8)-C26</f>
        <v>1140</v>
      </c>
      <c r="D33" s="399">
        <f t="shared" si="0"/>
        <v>0</v>
      </c>
      <c r="E33" s="399">
        <f t="shared" si="0"/>
        <v>0</v>
      </c>
      <c r="F33" s="399">
        <f t="shared" si="0"/>
        <v>1020</v>
      </c>
      <c r="G33" s="400"/>
      <c r="H33" s="399">
        <f>(H4*H6*H7*H8)-H26</f>
        <v>855</v>
      </c>
      <c r="I33" s="399">
        <f t="shared" ref="I33:L33" si="1">(I4*I6*I7*I8)-I26</f>
        <v>855</v>
      </c>
      <c r="J33" s="399">
        <f t="shared" si="1"/>
        <v>0</v>
      </c>
      <c r="K33" s="399">
        <f t="shared" si="1"/>
        <v>0</v>
      </c>
      <c r="L33" s="399">
        <f t="shared" si="1"/>
        <v>765</v>
      </c>
      <c r="M33" s="115">
        <f t="shared" ref="M33:M38" si="2">SUM(B33:F33)+SUM(H33:L33)</f>
        <v>5775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666.5048875</v>
      </c>
      <c r="C34" s="96">
        <f t="shared" ref="C34:F34" si="3">C4*(SUM(C11:C17))</f>
        <v>645.18488749999995</v>
      </c>
      <c r="D34" s="96">
        <f t="shared" si="3"/>
        <v>0</v>
      </c>
      <c r="E34" s="96">
        <f t="shared" si="3"/>
        <v>0</v>
      </c>
      <c r="F34" s="96">
        <f t="shared" si="3"/>
        <v>563.32910000000004</v>
      </c>
      <c r="G34" s="3"/>
      <c r="H34" s="96">
        <f>H4*(SUM(H11:H17))</f>
        <v>666.5048875</v>
      </c>
      <c r="I34" s="96">
        <f t="shared" ref="I34:L34" si="4">I4*(SUM(I11:I17))</f>
        <v>645.18488749999995</v>
      </c>
      <c r="J34" s="96">
        <f t="shared" si="4"/>
        <v>0</v>
      </c>
      <c r="K34" s="96">
        <f t="shared" si="4"/>
        <v>0</v>
      </c>
      <c r="L34" s="96">
        <f t="shared" si="4"/>
        <v>563.32910000000004</v>
      </c>
      <c r="M34" s="115">
        <f t="shared" si="2"/>
        <v>3750.0377499999995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797.51488749999999</v>
      </c>
      <c r="C35" s="96">
        <f t="shared" ref="C35:F35" si="5">C4*SUM(C11:C21)</f>
        <v>772.39488749999998</v>
      </c>
      <c r="D35" s="96">
        <f t="shared" si="5"/>
        <v>0</v>
      </c>
      <c r="E35" s="96">
        <f t="shared" si="5"/>
        <v>0</v>
      </c>
      <c r="F35" s="96">
        <f t="shared" si="5"/>
        <v>695.37909924585722</v>
      </c>
      <c r="G35" s="3"/>
      <c r="H35" s="96">
        <f>H4*SUM(H11:H21)</f>
        <v>793.38488749999999</v>
      </c>
      <c r="I35" s="96">
        <f t="shared" ref="I35:L35" si="6">I4*SUM(I11:I21)</f>
        <v>768.26488749999987</v>
      </c>
      <c r="J35" s="96">
        <f t="shared" si="6"/>
        <v>0</v>
      </c>
      <c r="K35" s="96">
        <f t="shared" si="6"/>
        <v>0</v>
      </c>
      <c r="L35" s="96">
        <f t="shared" si="6"/>
        <v>691.2491</v>
      </c>
      <c r="M35" s="115">
        <f t="shared" si="2"/>
        <v>4518.187749245857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</f>
        <v>959.47488750000002</v>
      </c>
      <c r="C36" s="96">
        <f t="shared" ref="C36:F36" si="7">C4*(SUM(C11:C21)+SUM(C22:C25))</f>
        <v>933.22488750000002</v>
      </c>
      <c r="D36" s="96">
        <f t="shared" si="7"/>
        <v>0</v>
      </c>
      <c r="E36" s="96">
        <f t="shared" si="7"/>
        <v>0</v>
      </c>
      <c r="F36" s="96">
        <f t="shared" si="7"/>
        <v>839.46909924585725</v>
      </c>
      <c r="G36" s="3"/>
      <c r="H36" s="96">
        <f>H4*(SUM(H11:H21)+SUM(H22:H25))</f>
        <v>955.15488749999997</v>
      </c>
      <c r="I36" s="96">
        <f t="shared" ref="I36:L36" si="8">I4*(SUM(I11:I21)+SUM(I22:I25))</f>
        <v>928.90488749999986</v>
      </c>
      <c r="J36" s="96">
        <f t="shared" si="8"/>
        <v>0</v>
      </c>
      <c r="K36" s="96">
        <f t="shared" si="8"/>
        <v>0</v>
      </c>
      <c r="L36" s="96">
        <f t="shared" si="8"/>
        <v>835.15910000000008</v>
      </c>
      <c r="M36" s="115">
        <f t="shared" si="2"/>
        <v>5451.3877492458569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>B4*SUM(B28:B30)</f>
        <v>174.82999999999998</v>
      </c>
      <c r="C37" s="96">
        <f t="shared" ref="C37:F37" si="9">C4*SUM(C28:C30)</f>
        <v>149.47999999999999</v>
      </c>
      <c r="D37" s="96">
        <f t="shared" si="9"/>
        <v>0</v>
      </c>
      <c r="E37" s="96">
        <f t="shared" si="9"/>
        <v>0</v>
      </c>
      <c r="F37" s="96">
        <f t="shared" si="9"/>
        <v>174.82999999999998</v>
      </c>
      <c r="G37" s="3"/>
      <c r="H37" s="96">
        <f>H4*SUM(H28:H30)</f>
        <v>140.79</v>
      </c>
      <c r="I37" s="96">
        <f t="shared" ref="I37:L37" si="10">I4*SUM(I28:I30)</f>
        <v>115.44</v>
      </c>
      <c r="J37" s="96">
        <f t="shared" si="10"/>
        <v>0</v>
      </c>
      <c r="K37" s="96">
        <f t="shared" si="10"/>
        <v>0</v>
      </c>
      <c r="L37" s="96">
        <f t="shared" si="10"/>
        <v>140.79</v>
      </c>
      <c r="M37" s="115">
        <f t="shared" si="2"/>
        <v>896.15999999999985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1134.3048874999999</v>
      </c>
      <c r="C38" s="96">
        <f t="shared" ref="C38:F38" si="11">SUM(C36:C37)</f>
        <v>1082.7048875</v>
      </c>
      <c r="D38" s="96">
        <f t="shared" si="11"/>
        <v>0</v>
      </c>
      <c r="E38" s="96">
        <f t="shared" si="11"/>
        <v>0</v>
      </c>
      <c r="F38" s="96">
        <f t="shared" si="11"/>
        <v>1014.2990992458572</v>
      </c>
      <c r="G38" s="3"/>
      <c r="H38" s="96">
        <f>SUM(H36:H37)</f>
        <v>1095.9448875</v>
      </c>
      <c r="I38" s="96">
        <f t="shared" ref="I38:L38" si="12">SUM(I36:I37)</f>
        <v>1044.3448874999999</v>
      </c>
      <c r="J38" s="96">
        <f t="shared" si="12"/>
        <v>0</v>
      </c>
      <c r="K38" s="96">
        <f t="shared" si="12"/>
        <v>0</v>
      </c>
      <c r="L38" s="96">
        <f t="shared" si="12"/>
        <v>975.94910000000004</v>
      </c>
      <c r="M38" s="115">
        <f t="shared" si="2"/>
        <v>6347.5477492458576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5.6951125000000502</v>
      </c>
      <c r="C39" s="97">
        <f t="shared" ref="C39:F39" si="13">(C4*C6*C7*C8)-C26-C38</f>
        <v>57.295112499999959</v>
      </c>
      <c r="D39" s="97">
        <f t="shared" si="13"/>
        <v>0</v>
      </c>
      <c r="E39" s="97">
        <f t="shared" si="13"/>
        <v>0</v>
      </c>
      <c r="F39" s="97">
        <f t="shared" si="13"/>
        <v>5.7009007541428218</v>
      </c>
      <c r="G39" s="412"/>
      <c r="H39" s="97">
        <f>(H4*H6*H7*H8)-H26-H38</f>
        <v>-240.94488750000005</v>
      </c>
      <c r="I39" s="97">
        <f t="shared" ref="I39:L39" si="14">(I4*I6*I7*I8)-I26-I38</f>
        <v>-189.34488749999991</v>
      </c>
      <c r="J39" s="97">
        <f t="shared" si="14"/>
        <v>0</v>
      </c>
      <c r="K39" s="97">
        <f t="shared" si="14"/>
        <v>0</v>
      </c>
      <c r="L39" s="97">
        <f t="shared" si="14"/>
        <v>-210.94910000000004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31.24</v>
      </c>
      <c r="C41" s="395">
        <f t="shared" ref="C41:F41" si="15">C20*C4</f>
        <v>27.44</v>
      </c>
      <c r="D41" s="395">
        <f t="shared" si="15"/>
        <v>0</v>
      </c>
      <c r="E41" s="395">
        <f t="shared" si="15"/>
        <v>0</v>
      </c>
      <c r="F41" s="395">
        <f t="shared" si="15"/>
        <v>31.236288576020566</v>
      </c>
      <c r="G41" s="2"/>
      <c r="H41" s="395">
        <f>H20*H4</f>
        <v>27.11</v>
      </c>
      <c r="I41" s="395">
        <f t="shared" ref="I41:L41" si="16">I20*I4</f>
        <v>23.31</v>
      </c>
      <c r="J41" s="395">
        <f t="shared" si="16"/>
        <v>0</v>
      </c>
      <c r="K41" s="395">
        <f t="shared" si="16"/>
        <v>0</v>
      </c>
      <c r="L41" s="395">
        <f t="shared" si="16"/>
        <v>27.11</v>
      </c>
      <c r="M41" s="396">
        <f>SUM(B41:F41)+SUM(H41:L41)</f>
        <v>167.44628857602055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55.27</v>
      </c>
      <c r="C42" s="395">
        <f t="shared" ref="C42:F42" si="17">C21*C4</f>
        <v>55.27</v>
      </c>
      <c r="D42" s="395">
        <f t="shared" si="17"/>
        <v>0</v>
      </c>
      <c r="E42" s="395">
        <f t="shared" si="17"/>
        <v>0</v>
      </c>
      <c r="F42" s="395">
        <f t="shared" si="17"/>
        <v>56.313710669836567</v>
      </c>
      <c r="G42" s="2"/>
      <c r="H42" s="395">
        <f>H21*H4</f>
        <v>55.27</v>
      </c>
      <c r="I42" s="395">
        <f t="shared" ref="I42:L42" si="18">I21*I4</f>
        <v>55.27</v>
      </c>
      <c r="J42" s="395">
        <f t="shared" si="18"/>
        <v>0</v>
      </c>
      <c r="K42" s="395">
        <f t="shared" si="18"/>
        <v>0</v>
      </c>
      <c r="L42" s="395">
        <f t="shared" si="18"/>
        <v>56.31</v>
      </c>
      <c r="M42" s="396">
        <f>SUM(B42:F42)+SUM(H42:L42)</f>
        <v>333.7037106698366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mergeCells count="4">
    <mergeCell ref="B2:C2"/>
    <mergeCell ref="D2:E2"/>
    <mergeCell ref="H2:I2"/>
    <mergeCell ref="J2:K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48"/>
  <sheetViews>
    <sheetView workbookViewId="0"/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38</v>
      </c>
      <c r="B1" s="102" t="s">
        <v>20</v>
      </c>
      <c r="C1" s="46"/>
      <c r="D1" s="46"/>
      <c r="E1" s="46"/>
      <c r="F1" s="46"/>
      <c r="G1" s="103"/>
      <c r="H1" s="102" t="s">
        <v>29</v>
      </c>
      <c r="I1" s="46"/>
      <c r="J1" s="46"/>
      <c r="K1" s="46"/>
      <c r="L1" s="104"/>
      <c r="M1" s="421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x14ac:dyDescent="0.25">
      <c r="A2" s="44" t="s">
        <v>24</v>
      </c>
      <c r="B2" s="68" t="s">
        <v>23</v>
      </c>
      <c r="C2" s="25"/>
      <c r="D2" s="26" t="s">
        <v>26</v>
      </c>
      <c r="E2" s="26"/>
      <c r="F2" s="28" t="s">
        <v>28</v>
      </c>
      <c r="G2" s="29"/>
      <c r="H2" s="68" t="s">
        <v>23</v>
      </c>
      <c r="I2" s="25"/>
      <c r="J2" s="26" t="s">
        <v>26</v>
      </c>
      <c r="K2" s="26"/>
      <c r="L2" s="27" t="s">
        <v>28</v>
      </c>
      <c r="M2" s="88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69" t="s">
        <v>21</v>
      </c>
      <c r="I3" s="10" t="s">
        <v>22</v>
      </c>
      <c r="J3" s="11" t="s">
        <v>21</v>
      </c>
      <c r="K3" s="11" t="s">
        <v>22</v>
      </c>
      <c r="L3" s="70" t="s">
        <v>27</v>
      </c>
      <c r="M3" s="88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9">
        <v>1</v>
      </c>
      <c r="M4" s="88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71"/>
      <c r="I5" s="19"/>
      <c r="J5" s="19"/>
      <c r="K5" s="19"/>
      <c r="L5" s="72"/>
      <c r="M5" s="88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/>
      <c r="C6" s="33"/>
      <c r="D6" s="33"/>
      <c r="E6" s="33"/>
      <c r="F6" s="33">
        <v>70</v>
      </c>
      <c r="G6" s="4"/>
      <c r="H6" s="33"/>
      <c r="I6" s="33"/>
      <c r="J6" s="33"/>
      <c r="K6" s="33"/>
      <c r="L6" s="33">
        <v>70</v>
      </c>
      <c r="M6" s="88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/>
      <c r="C7" s="24"/>
      <c r="D7" s="24"/>
      <c r="E7" s="24"/>
      <c r="F7" s="24">
        <v>5.7</v>
      </c>
      <c r="G7" s="5"/>
      <c r="H7" s="24"/>
      <c r="I7" s="24"/>
      <c r="J7" s="24"/>
      <c r="K7" s="24"/>
      <c r="L7" s="24">
        <v>5.7</v>
      </c>
      <c r="M7" s="88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23">
        <v>0.75</v>
      </c>
      <c r="M8" s="88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73"/>
      <c r="I9" s="22"/>
      <c r="J9" s="22"/>
      <c r="K9" s="22"/>
      <c r="L9" s="74"/>
      <c r="M9" s="88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73"/>
      <c r="C10" s="22"/>
      <c r="D10" s="22"/>
      <c r="E10" s="22"/>
      <c r="F10" s="554"/>
      <c r="G10" s="5"/>
      <c r="H10" s="73"/>
      <c r="I10" s="22"/>
      <c r="J10" s="22"/>
      <c r="K10" s="22"/>
      <c r="L10" s="556"/>
      <c r="M10" s="88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24"/>
      <c r="C11" s="24"/>
      <c r="D11" s="24"/>
      <c r="E11" s="24"/>
      <c r="F11" s="553">
        <v>40</v>
      </c>
      <c r="G11" s="5"/>
      <c r="H11" s="24"/>
      <c r="I11" s="24"/>
      <c r="J11" s="24"/>
      <c r="K11" s="24"/>
      <c r="L11" s="553">
        <v>40</v>
      </c>
      <c r="M11" s="88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24"/>
      <c r="C12" s="24"/>
      <c r="D12" s="24"/>
      <c r="E12" s="24"/>
      <c r="F12" s="553">
        <v>137.75</v>
      </c>
      <c r="G12" s="5"/>
      <c r="H12" s="24"/>
      <c r="I12" s="24"/>
      <c r="J12" s="24"/>
      <c r="K12" s="24"/>
      <c r="L12" s="553">
        <v>137.75</v>
      </c>
      <c r="M12" s="88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24"/>
      <c r="C13" s="24"/>
      <c r="D13" s="24"/>
      <c r="E13" s="24"/>
      <c r="F13" s="553">
        <v>49.759062499999999</v>
      </c>
      <c r="G13" s="5"/>
      <c r="H13" s="24"/>
      <c r="I13" s="24"/>
      <c r="J13" s="24"/>
      <c r="K13" s="24"/>
      <c r="L13" s="553">
        <v>49.759062499999999</v>
      </c>
      <c r="M13" s="88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24"/>
      <c r="C14" s="24"/>
      <c r="D14" s="24"/>
      <c r="E14" s="24"/>
      <c r="F14" s="553">
        <v>54</v>
      </c>
      <c r="G14" s="5"/>
      <c r="H14" s="24"/>
      <c r="I14" s="24"/>
      <c r="J14" s="24"/>
      <c r="K14" s="24"/>
      <c r="L14" s="553">
        <v>54</v>
      </c>
      <c r="M14" s="88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24"/>
      <c r="C15" s="24"/>
      <c r="D15" s="24"/>
      <c r="E15" s="24"/>
      <c r="F15" s="24">
        <v>0</v>
      </c>
      <c r="G15" s="5"/>
      <c r="H15" s="24"/>
      <c r="I15" s="24"/>
      <c r="J15" s="24"/>
      <c r="K15" s="24"/>
      <c r="L15" s="24">
        <v>0</v>
      </c>
      <c r="M15" s="88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24"/>
      <c r="C16" s="24"/>
      <c r="D16" s="24"/>
      <c r="E16" s="24"/>
      <c r="F16" s="24">
        <v>13.42</v>
      </c>
      <c r="G16" s="5"/>
      <c r="H16" s="24"/>
      <c r="I16" s="24"/>
      <c r="J16" s="24"/>
      <c r="K16" s="24"/>
      <c r="L16" s="24">
        <v>13.42</v>
      </c>
      <c r="M16" s="88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24"/>
      <c r="C17" s="24"/>
      <c r="D17" s="24"/>
      <c r="E17" s="24"/>
      <c r="F17" s="24">
        <v>0</v>
      </c>
      <c r="G17" s="5"/>
      <c r="H17" s="24"/>
      <c r="I17" s="24"/>
      <c r="J17" s="24"/>
      <c r="K17" s="24"/>
      <c r="L17" s="24">
        <v>0</v>
      </c>
      <c r="M17" s="88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24"/>
      <c r="C18" s="24"/>
      <c r="D18" s="24"/>
      <c r="E18" s="24"/>
      <c r="F18" s="24">
        <v>5</v>
      </c>
      <c r="G18" s="5"/>
      <c r="H18" s="24"/>
      <c r="I18" s="24"/>
      <c r="J18" s="24"/>
      <c r="K18" s="24"/>
      <c r="L18" s="24">
        <v>5</v>
      </c>
      <c r="M18" s="88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24"/>
      <c r="C19" s="24"/>
      <c r="D19" s="24"/>
      <c r="E19" s="24"/>
      <c r="F19" s="24">
        <v>27</v>
      </c>
      <c r="G19" s="5"/>
      <c r="H19" s="24"/>
      <c r="I19" s="24"/>
      <c r="J19" s="24"/>
      <c r="K19" s="24"/>
      <c r="L19" s="24">
        <v>27</v>
      </c>
      <c r="M19" s="88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24"/>
      <c r="C20" s="24"/>
      <c r="D20" s="24"/>
      <c r="E20" s="24"/>
      <c r="F20" s="24">
        <v>15.48</v>
      </c>
      <c r="G20" s="5"/>
      <c r="H20" s="24"/>
      <c r="I20" s="24"/>
      <c r="J20" s="24"/>
      <c r="K20" s="24"/>
      <c r="L20" s="24">
        <v>15.48</v>
      </c>
      <c r="M20" s="88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24"/>
      <c r="C21" s="24"/>
      <c r="D21" s="24"/>
      <c r="E21" s="24"/>
      <c r="F21" s="24">
        <v>7.18</v>
      </c>
      <c r="G21" s="5"/>
      <c r="H21" s="24"/>
      <c r="I21" s="24"/>
      <c r="J21" s="24"/>
      <c r="K21" s="24"/>
      <c r="L21" s="24">
        <v>7.18</v>
      </c>
      <c r="M21" s="88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/>
      <c r="C22" s="24"/>
      <c r="D22" s="24"/>
      <c r="E22" s="24"/>
      <c r="F22" s="24">
        <v>15.73</v>
      </c>
      <c r="G22" s="5"/>
      <c r="H22" s="24"/>
      <c r="I22" s="24"/>
      <c r="J22" s="24"/>
      <c r="K22" s="24"/>
      <c r="L22" s="24">
        <v>15.73</v>
      </c>
      <c r="M22" s="88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/>
      <c r="C23" s="24"/>
      <c r="D23" s="24"/>
      <c r="E23" s="24"/>
      <c r="F23" s="24">
        <v>0</v>
      </c>
      <c r="G23" s="5"/>
      <c r="H23" s="24"/>
      <c r="I23" s="24"/>
      <c r="J23" s="24"/>
      <c r="K23" s="24"/>
      <c r="L23" s="24">
        <v>0</v>
      </c>
      <c r="M23" s="88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/>
      <c r="C24" s="24"/>
      <c r="D24" s="24"/>
      <c r="E24" s="24"/>
      <c r="F24" s="24">
        <v>18.2</v>
      </c>
      <c r="G24" s="5"/>
      <c r="H24" s="24"/>
      <c r="I24" s="24"/>
      <c r="J24" s="24"/>
      <c r="K24" s="24"/>
      <c r="L24" s="24">
        <v>18.2</v>
      </c>
      <c r="M24" s="88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/>
      <c r="C25" s="24"/>
      <c r="D25" s="24"/>
      <c r="E25" s="24"/>
      <c r="F25" s="24">
        <v>0</v>
      </c>
      <c r="G25" s="5"/>
      <c r="H25" s="24"/>
      <c r="I25" s="24"/>
      <c r="J25" s="24"/>
      <c r="K25" s="24"/>
      <c r="L25" s="24">
        <v>0</v>
      </c>
      <c r="M25" s="88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/>
      <c r="C26" s="24"/>
      <c r="D26" s="24"/>
      <c r="E26" s="24"/>
      <c r="F26" s="24">
        <v>0</v>
      </c>
      <c r="G26" s="5"/>
      <c r="H26" s="24"/>
      <c r="I26" s="24"/>
      <c r="J26" s="24"/>
      <c r="K26" s="24"/>
      <c r="L26" s="24">
        <v>0</v>
      </c>
      <c r="M26" s="88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75"/>
      <c r="I27" s="17"/>
      <c r="J27" s="17"/>
      <c r="K27" s="17"/>
      <c r="L27" s="17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/>
      <c r="C28" s="24"/>
      <c r="D28" s="24"/>
      <c r="E28" s="24"/>
      <c r="F28" s="24">
        <v>74.13</v>
      </c>
      <c r="G28" s="5"/>
      <c r="H28" s="24"/>
      <c r="I28" s="24"/>
      <c r="J28" s="24"/>
      <c r="K28" s="24"/>
      <c r="L28" s="24">
        <v>74.13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/>
      <c r="C29" s="24"/>
      <c r="D29" s="24"/>
      <c r="E29" s="24"/>
      <c r="F29" s="24">
        <v>0</v>
      </c>
      <c r="G29" s="5"/>
      <c r="H29" s="24"/>
      <c r="I29" s="24"/>
      <c r="J29" s="24"/>
      <c r="K29" s="24"/>
      <c r="L29" s="24">
        <v>0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/>
      <c r="C30" s="24"/>
      <c r="D30" s="24"/>
      <c r="E30" s="24"/>
      <c r="F30" s="24">
        <v>3.71</v>
      </c>
      <c r="G30" s="56"/>
      <c r="H30" s="24"/>
      <c r="I30" s="24"/>
      <c r="J30" s="24"/>
      <c r="K30" s="24"/>
      <c r="L30" s="24">
        <v>3.71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9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 t="shared" ref="B33:E33" si="0">(B4*B6*B7*B8)-B26</f>
        <v>0</v>
      </c>
      <c r="C33" s="399">
        <f t="shared" si="0"/>
        <v>0</v>
      </c>
      <c r="D33" s="399">
        <f t="shared" si="0"/>
        <v>0</v>
      </c>
      <c r="E33" s="399">
        <f t="shared" si="0"/>
        <v>0</v>
      </c>
      <c r="F33" s="399">
        <f>(F4*F6*F7*F8)-F26</f>
        <v>399</v>
      </c>
      <c r="G33" s="400"/>
      <c r="H33" s="399">
        <f t="shared" ref="H33:K33" si="1">(H4*H6*H7*H8)-H26</f>
        <v>0</v>
      </c>
      <c r="I33" s="399">
        <f t="shared" si="1"/>
        <v>0</v>
      </c>
      <c r="J33" s="399">
        <f t="shared" si="1"/>
        <v>0</v>
      </c>
      <c r="K33" s="399">
        <f t="shared" si="1"/>
        <v>0</v>
      </c>
      <c r="L33" s="399">
        <f>(L4*L6*L7*L8)-L26</f>
        <v>299.25</v>
      </c>
      <c r="M33" s="115">
        <f t="shared" ref="M33:M38" si="2">SUM(B33:F33)+SUM(H33:L33)</f>
        <v>698.25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 t="shared" ref="B34:E34" si="3">B4*(SUM(B11:B17))</f>
        <v>0</v>
      </c>
      <c r="C34" s="96">
        <f t="shared" si="3"/>
        <v>0</v>
      </c>
      <c r="D34" s="96">
        <f t="shared" si="3"/>
        <v>0</v>
      </c>
      <c r="E34" s="96">
        <f t="shared" si="3"/>
        <v>0</v>
      </c>
      <c r="F34" s="96">
        <f>F4*(SUM(F11:F17))</f>
        <v>294.92906250000004</v>
      </c>
      <c r="G34" s="3"/>
      <c r="H34" s="96">
        <f t="shared" ref="H34:K34" si="4">H4*(SUM(H11:H17))</f>
        <v>0</v>
      </c>
      <c r="I34" s="96">
        <f t="shared" si="4"/>
        <v>0</v>
      </c>
      <c r="J34" s="96">
        <f t="shared" si="4"/>
        <v>0</v>
      </c>
      <c r="K34" s="96">
        <f t="shared" si="4"/>
        <v>0</v>
      </c>
      <c r="L34" s="96">
        <f>L4*(SUM(L11:L17))</f>
        <v>294.92906250000004</v>
      </c>
      <c r="M34" s="115">
        <f t="shared" si="2"/>
        <v>589.85812500000009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 t="shared" ref="B35:E35" si="5">B4*SUM(B11:B21)</f>
        <v>0</v>
      </c>
      <c r="C35" s="96">
        <f t="shared" si="5"/>
        <v>0</v>
      </c>
      <c r="D35" s="96">
        <f t="shared" si="5"/>
        <v>0</v>
      </c>
      <c r="E35" s="96">
        <f t="shared" si="5"/>
        <v>0</v>
      </c>
      <c r="F35" s="96">
        <f>F4*SUM(F11:F21)</f>
        <v>349.58906250000007</v>
      </c>
      <c r="G35" s="3"/>
      <c r="H35" s="96">
        <f t="shared" ref="H35:K35" si="6">H4*SUM(H11:H21)</f>
        <v>0</v>
      </c>
      <c r="I35" s="96">
        <f t="shared" si="6"/>
        <v>0</v>
      </c>
      <c r="J35" s="96">
        <f t="shared" si="6"/>
        <v>0</v>
      </c>
      <c r="K35" s="96">
        <f t="shared" si="6"/>
        <v>0</v>
      </c>
      <c r="L35" s="96">
        <f>L4*SUM(L11:L21)</f>
        <v>349.58906250000007</v>
      </c>
      <c r="M35" s="115">
        <f t="shared" si="2"/>
        <v>699.17812500000014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 t="shared" ref="B36:E36" si="7">B4*(SUM(B11:B21)+SUM(B22:B25))</f>
        <v>0</v>
      </c>
      <c r="C36" s="96">
        <f t="shared" si="7"/>
        <v>0</v>
      </c>
      <c r="D36" s="96">
        <f t="shared" si="7"/>
        <v>0</v>
      </c>
      <c r="E36" s="96">
        <f t="shared" si="7"/>
        <v>0</v>
      </c>
      <c r="F36" s="96">
        <f>F4*(SUM(F11:F21)+SUM(F22:F25))</f>
        <v>383.51906250000008</v>
      </c>
      <c r="G36" s="3"/>
      <c r="H36" s="96">
        <f t="shared" ref="H36:K36" si="8">H4*(SUM(H11:H21)+SUM(H22:H25))</f>
        <v>0</v>
      </c>
      <c r="I36" s="96">
        <f t="shared" si="8"/>
        <v>0</v>
      </c>
      <c r="J36" s="96">
        <f t="shared" si="8"/>
        <v>0</v>
      </c>
      <c r="K36" s="96">
        <f t="shared" si="8"/>
        <v>0</v>
      </c>
      <c r="L36" s="96">
        <f>L4*(SUM(L11:L21)+SUM(L22:L25))</f>
        <v>383.51906250000008</v>
      </c>
      <c r="M36" s="115">
        <f t="shared" si="2"/>
        <v>767.03812500000015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 t="shared" ref="B37:E37" si="9">B4*SUM(B28:B30)</f>
        <v>0</v>
      </c>
      <c r="C37" s="96">
        <f t="shared" si="9"/>
        <v>0</v>
      </c>
      <c r="D37" s="96">
        <f t="shared" si="9"/>
        <v>0</v>
      </c>
      <c r="E37" s="96">
        <f t="shared" si="9"/>
        <v>0</v>
      </c>
      <c r="F37" s="96">
        <f>F4*SUM(F28:F30)</f>
        <v>77.839999999999989</v>
      </c>
      <c r="G37" s="3"/>
      <c r="H37" s="96">
        <f t="shared" ref="H37:K37" si="10">H4*SUM(H28:H30)</f>
        <v>0</v>
      </c>
      <c r="I37" s="96">
        <f t="shared" si="10"/>
        <v>0</v>
      </c>
      <c r="J37" s="96">
        <f t="shared" si="10"/>
        <v>0</v>
      </c>
      <c r="K37" s="96">
        <f t="shared" si="10"/>
        <v>0</v>
      </c>
      <c r="L37" s="96">
        <f>L4*SUM(L28:L30)</f>
        <v>77.839999999999989</v>
      </c>
      <c r="M37" s="115">
        <f t="shared" si="2"/>
        <v>155.67999999999998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 t="shared" ref="B38:E38" si="11">SUM(B36:B37)</f>
        <v>0</v>
      </c>
      <c r="C38" s="96">
        <f t="shared" si="11"/>
        <v>0</v>
      </c>
      <c r="D38" s="96">
        <f t="shared" si="11"/>
        <v>0</v>
      </c>
      <c r="E38" s="96">
        <f t="shared" si="11"/>
        <v>0</v>
      </c>
      <c r="F38" s="96">
        <f>SUM(F36:F37)</f>
        <v>461.35906250000005</v>
      </c>
      <c r="G38" s="3"/>
      <c r="H38" s="96">
        <f t="shared" ref="H38:K38" si="12">SUM(H36:H37)</f>
        <v>0</v>
      </c>
      <c r="I38" s="96">
        <f t="shared" si="12"/>
        <v>0</v>
      </c>
      <c r="J38" s="96">
        <f t="shared" si="12"/>
        <v>0</v>
      </c>
      <c r="K38" s="96">
        <f t="shared" si="12"/>
        <v>0</v>
      </c>
      <c r="L38" s="96">
        <f>SUM(L36:L37)</f>
        <v>461.35906250000005</v>
      </c>
      <c r="M38" s="115">
        <f t="shared" si="2"/>
        <v>922.7181250000001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 t="shared" ref="B39:E39" si="13">(B4*B6*B7*B8)-B26-B38</f>
        <v>0</v>
      </c>
      <c r="C39" s="97">
        <f t="shared" si="13"/>
        <v>0</v>
      </c>
      <c r="D39" s="97">
        <f t="shared" si="13"/>
        <v>0</v>
      </c>
      <c r="E39" s="97">
        <f t="shared" si="13"/>
        <v>0</v>
      </c>
      <c r="F39" s="97">
        <f>(F4*F6*F7*F8)-F26-F38</f>
        <v>-62.35906250000005</v>
      </c>
      <c r="G39" s="412"/>
      <c r="H39" s="97">
        <f t="shared" ref="H39:K39" si="14">(H4*H6*H7*H8)-H26-H38</f>
        <v>0</v>
      </c>
      <c r="I39" s="97">
        <f t="shared" si="14"/>
        <v>0</v>
      </c>
      <c r="J39" s="97">
        <f t="shared" si="14"/>
        <v>0</v>
      </c>
      <c r="K39" s="97">
        <f t="shared" si="14"/>
        <v>0</v>
      </c>
      <c r="L39" s="97">
        <f>(L4*L6*L7*L8)-L26-L38</f>
        <v>-162.10906250000005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 t="shared" ref="B41:E41" si="15">B20*B4</f>
        <v>0</v>
      </c>
      <c r="C41" s="395">
        <f t="shared" si="15"/>
        <v>0</v>
      </c>
      <c r="D41" s="395">
        <f t="shared" si="15"/>
        <v>0</v>
      </c>
      <c r="E41" s="395">
        <f t="shared" si="15"/>
        <v>0</v>
      </c>
      <c r="F41" s="395">
        <f>F20*F4</f>
        <v>15.48</v>
      </c>
      <c r="G41" s="2"/>
      <c r="H41" s="395">
        <f t="shared" ref="H41:K41" si="16">H20*H4</f>
        <v>0</v>
      </c>
      <c r="I41" s="395">
        <f t="shared" si="16"/>
        <v>0</v>
      </c>
      <c r="J41" s="395">
        <f t="shared" si="16"/>
        <v>0</v>
      </c>
      <c r="K41" s="395">
        <f t="shared" si="16"/>
        <v>0</v>
      </c>
      <c r="L41" s="395">
        <f>L20*L4</f>
        <v>15.48</v>
      </c>
      <c r="M41" s="396">
        <f>SUM(B41:F41)+SUM(H41:L41)</f>
        <v>30.96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 t="shared" ref="B42:E42" si="17">B21*B4</f>
        <v>0</v>
      </c>
      <c r="C42" s="395">
        <f t="shared" si="17"/>
        <v>0</v>
      </c>
      <c r="D42" s="395">
        <f t="shared" si="17"/>
        <v>0</v>
      </c>
      <c r="E42" s="395">
        <f t="shared" si="17"/>
        <v>0</v>
      </c>
      <c r="F42" s="395">
        <f>F21*F4</f>
        <v>7.18</v>
      </c>
      <c r="G42" s="2"/>
      <c r="H42" s="395">
        <f t="shared" ref="H42:K42" si="18">H21*H4</f>
        <v>0</v>
      </c>
      <c r="I42" s="395">
        <f t="shared" si="18"/>
        <v>0</v>
      </c>
      <c r="J42" s="395">
        <f t="shared" si="18"/>
        <v>0</v>
      </c>
      <c r="K42" s="395">
        <f t="shared" si="18"/>
        <v>0</v>
      </c>
      <c r="L42" s="395">
        <f>L21*L4</f>
        <v>7.18</v>
      </c>
      <c r="M42" s="396">
        <f>SUM(B42:F42)+SUM(H42:L42)</f>
        <v>14.36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A48"/>
  <sheetViews>
    <sheetView workbookViewId="0"/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37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104"/>
      <c r="M1" s="421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x14ac:dyDescent="0.25">
      <c r="A2" s="44" t="s">
        <v>24</v>
      </c>
      <c r="B2" s="68" t="s">
        <v>23</v>
      </c>
      <c r="C2" s="25"/>
      <c r="D2" s="26" t="s">
        <v>26</v>
      </c>
      <c r="E2" s="26"/>
      <c r="F2" s="28" t="s">
        <v>28</v>
      </c>
      <c r="G2" s="29"/>
      <c r="H2" s="25" t="s">
        <v>23</v>
      </c>
      <c r="I2" s="25"/>
      <c r="J2" s="26" t="s">
        <v>26</v>
      </c>
      <c r="K2" s="26"/>
      <c r="L2" s="27" t="s">
        <v>28</v>
      </c>
      <c r="M2" s="88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70" t="s">
        <v>27</v>
      </c>
      <c r="M3" s="88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9">
        <v>1</v>
      </c>
      <c r="M4" s="88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72"/>
      <c r="M5" s="88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0</v>
      </c>
      <c r="B6" s="33">
        <v>105</v>
      </c>
      <c r="C6" s="33">
        <v>105</v>
      </c>
      <c r="D6" s="33">
        <v>105</v>
      </c>
      <c r="E6" s="33">
        <v>105</v>
      </c>
      <c r="F6" s="33">
        <v>80</v>
      </c>
      <c r="G6" s="4"/>
      <c r="H6" s="33">
        <v>105</v>
      </c>
      <c r="I6" s="33">
        <v>105</v>
      </c>
      <c r="J6" s="33">
        <v>105</v>
      </c>
      <c r="K6" s="33">
        <v>105</v>
      </c>
      <c r="L6" s="33">
        <v>80</v>
      </c>
      <c r="M6" s="88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49</v>
      </c>
      <c r="B7" s="24">
        <v>4.7</v>
      </c>
      <c r="C7" s="24">
        <v>4.7</v>
      </c>
      <c r="D7" s="24">
        <v>4.7</v>
      </c>
      <c r="E7" s="24">
        <v>4.7</v>
      </c>
      <c r="F7" s="24">
        <v>4.7</v>
      </c>
      <c r="G7" s="5"/>
      <c r="H7" s="24">
        <v>4.7</v>
      </c>
      <c r="I7" s="24">
        <v>4.7</v>
      </c>
      <c r="J7" s="24">
        <v>4.7</v>
      </c>
      <c r="K7" s="24">
        <v>4.7</v>
      </c>
      <c r="L7" s="24">
        <v>4.7</v>
      </c>
      <c r="M7" s="88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23">
        <v>0.75</v>
      </c>
      <c r="M8" s="88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22"/>
      <c r="I9" s="22"/>
      <c r="J9" s="22"/>
      <c r="K9" s="22"/>
      <c r="L9" s="74"/>
      <c r="M9" s="88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555"/>
      <c r="C10" s="554"/>
      <c r="D10" s="554"/>
      <c r="E10" s="554"/>
      <c r="F10" s="554"/>
      <c r="G10" s="5"/>
      <c r="H10" s="554"/>
      <c r="I10" s="554"/>
      <c r="J10" s="554"/>
      <c r="K10" s="554"/>
      <c r="L10" s="556"/>
      <c r="M10" s="88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27.04</v>
      </c>
      <c r="C11" s="553">
        <v>27.04</v>
      </c>
      <c r="D11" s="553">
        <v>27.04</v>
      </c>
      <c r="E11" s="553">
        <v>27.04</v>
      </c>
      <c r="F11" s="553">
        <v>18.72</v>
      </c>
      <c r="G11" s="5"/>
      <c r="H11" s="553">
        <v>27.04</v>
      </c>
      <c r="I11" s="553">
        <v>27.04</v>
      </c>
      <c r="J11" s="553">
        <v>27.04</v>
      </c>
      <c r="K11" s="553">
        <v>27.04</v>
      </c>
      <c r="L11" s="553">
        <v>18.72</v>
      </c>
      <c r="M11" s="88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171.875</v>
      </c>
      <c r="C12" s="553">
        <v>171.875</v>
      </c>
      <c r="D12" s="553">
        <v>171.875</v>
      </c>
      <c r="E12" s="553">
        <v>171.875</v>
      </c>
      <c r="F12" s="553">
        <v>114.44999999999999</v>
      </c>
      <c r="G12" s="5"/>
      <c r="H12" s="553">
        <v>171.875</v>
      </c>
      <c r="I12" s="553">
        <v>171.875</v>
      </c>
      <c r="J12" s="553">
        <v>171.875</v>
      </c>
      <c r="K12" s="553">
        <v>171.875</v>
      </c>
      <c r="L12" s="553">
        <v>114.44999999999999</v>
      </c>
      <c r="M12" s="88"/>
      <c r="N12" s="88"/>
      <c r="O12" s="88"/>
      <c r="P12" s="88"/>
      <c r="Q12" s="111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59.889200000000002</v>
      </c>
      <c r="C13" s="553">
        <v>59.889200000000002</v>
      </c>
      <c r="D13" s="553">
        <v>59.889200000000002</v>
      </c>
      <c r="E13" s="553">
        <v>59.889200000000002</v>
      </c>
      <c r="F13" s="553">
        <v>59.889200000000002</v>
      </c>
      <c r="G13" s="5"/>
      <c r="H13" s="553">
        <v>59.889200000000002</v>
      </c>
      <c r="I13" s="553">
        <v>59.889200000000002</v>
      </c>
      <c r="J13" s="553">
        <v>59.889200000000002</v>
      </c>
      <c r="K13" s="553">
        <v>59.889200000000002</v>
      </c>
      <c r="L13" s="553">
        <v>59.889200000000002</v>
      </c>
      <c r="M13" s="88"/>
      <c r="N13" s="88"/>
      <c r="O13" s="88"/>
      <c r="P13" s="88"/>
      <c r="Q13" s="11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69.5</v>
      </c>
      <c r="C14" s="553">
        <v>69.5</v>
      </c>
      <c r="D14" s="553">
        <v>69.5</v>
      </c>
      <c r="E14" s="553">
        <v>69.5</v>
      </c>
      <c r="F14" s="553">
        <v>69.5</v>
      </c>
      <c r="G14" s="5"/>
      <c r="H14" s="553">
        <v>69.5</v>
      </c>
      <c r="I14" s="553">
        <v>69.5</v>
      </c>
      <c r="J14" s="553">
        <v>69.5</v>
      </c>
      <c r="K14" s="553">
        <v>69.5</v>
      </c>
      <c r="L14" s="553">
        <v>69.5</v>
      </c>
      <c r="M14" s="88"/>
      <c r="N14" s="88"/>
      <c r="O14" s="88"/>
      <c r="P14" s="88"/>
      <c r="Q14" s="111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153</v>
      </c>
      <c r="B15" s="24">
        <v>16.25</v>
      </c>
      <c r="C15" s="24">
        <v>16.25</v>
      </c>
      <c r="D15" s="24">
        <v>0</v>
      </c>
      <c r="E15" s="24">
        <v>0</v>
      </c>
      <c r="F15" s="24">
        <v>0</v>
      </c>
      <c r="G15" s="5"/>
      <c r="H15" s="24">
        <v>16.25</v>
      </c>
      <c r="I15" s="24">
        <v>16.25</v>
      </c>
      <c r="J15" s="24">
        <v>0</v>
      </c>
      <c r="K15" s="24">
        <v>0</v>
      </c>
      <c r="L15" s="24">
        <v>0</v>
      </c>
      <c r="M15" s="88"/>
      <c r="N15" s="88"/>
      <c r="O15" s="88"/>
      <c r="P15" s="88"/>
      <c r="Q15" s="111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553">
        <v>14.121003383522183</v>
      </c>
      <c r="C16" s="553">
        <v>14.121003383522183</v>
      </c>
      <c r="D16" s="553">
        <v>11.95</v>
      </c>
      <c r="E16" s="553">
        <v>11.95</v>
      </c>
      <c r="F16" s="553">
        <v>11.945944862155388</v>
      </c>
      <c r="G16" s="5"/>
      <c r="H16" s="553">
        <v>14.121003383522183</v>
      </c>
      <c r="I16" s="553">
        <v>14.121003383522183</v>
      </c>
      <c r="J16" s="553">
        <v>11.95</v>
      </c>
      <c r="K16" s="553">
        <v>11.95</v>
      </c>
      <c r="L16" s="553">
        <v>11.95</v>
      </c>
      <c r="M16" s="88"/>
      <c r="N16" s="88"/>
      <c r="O16" s="88"/>
      <c r="P16" s="88"/>
      <c r="Q16" s="111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553">
        <v>33.071670175438598</v>
      </c>
      <c r="C17" s="24">
        <v>25.97</v>
      </c>
      <c r="D17" s="24">
        <v>50.24</v>
      </c>
      <c r="E17" s="24">
        <v>39.450000000000003</v>
      </c>
      <c r="F17" s="24">
        <v>0</v>
      </c>
      <c r="G17" s="5"/>
      <c r="H17" s="553">
        <v>33.071670175438598</v>
      </c>
      <c r="I17" s="24">
        <v>25.97</v>
      </c>
      <c r="J17" s="24">
        <v>50.24</v>
      </c>
      <c r="K17" s="24">
        <v>39.450000000000003</v>
      </c>
      <c r="L17" s="24">
        <v>0</v>
      </c>
      <c r="M17" s="88"/>
      <c r="N17" s="88"/>
      <c r="O17" s="88"/>
      <c r="P17" s="88"/>
      <c r="Q17" s="111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154</v>
      </c>
      <c r="B18" s="24">
        <v>6</v>
      </c>
      <c r="C18" s="24">
        <v>6</v>
      </c>
      <c r="D18" s="24">
        <v>6</v>
      </c>
      <c r="E18" s="24">
        <v>6</v>
      </c>
      <c r="F18" s="553">
        <v>6</v>
      </c>
      <c r="G18" s="5"/>
      <c r="H18" s="24">
        <v>6</v>
      </c>
      <c r="I18" s="24">
        <v>6</v>
      </c>
      <c r="J18" s="24">
        <v>6</v>
      </c>
      <c r="K18" s="24">
        <v>6</v>
      </c>
      <c r="L18" s="553">
        <v>6</v>
      </c>
      <c r="M18" s="88"/>
      <c r="N18" s="88"/>
      <c r="O18" s="88"/>
      <c r="P18" s="88"/>
      <c r="Q18" s="111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24">
        <v>31</v>
      </c>
      <c r="C19" s="24">
        <v>31</v>
      </c>
      <c r="D19" s="24">
        <v>31</v>
      </c>
      <c r="E19" s="24">
        <v>31</v>
      </c>
      <c r="F19" s="553">
        <v>26</v>
      </c>
      <c r="G19" s="5"/>
      <c r="H19" s="24">
        <v>31</v>
      </c>
      <c r="I19" s="24">
        <v>31</v>
      </c>
      <c r="J19" s="24">
        <v>31</v>
      </c>
      <c r="K19" s="24">
        <v>31</v>
      </c>
      <c r="L19" s="553">
        <v>26</v>
      </c>
      <c r="M19" s="88"/>
      <c r="N19" s="88"/>
      <c r="O19" s="88"/>
      <c r="P19" s="88"/>
      <c r="Q19" s="111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24">
        <v>16.440000000000001</v>
      </c>
      <c r="C20" s="24">
        <v>15.17</v>
      </c>
      <c r="D20" s="24">
        <v>21.82</v>
      </c>
      <c r="E20" s="24">
        <v>19.07</v>
      </c>
      <c r="F20" s="553">
        <v>13.107528847206304</v>
      </c>
      <c r="G20" s="5"/>
      <c r="H20" s="24">
        <v>15.07</v>
      </c>
      <c r="I20" s="24">
        <v>13.8</v>
      </c>
      <c r="J20" s="24">
        <v>15.86</v>
      </c>
      <c r="K20" s="24">
        <v>13.11</v>
      </c>
      <c r="L20" s="553">
        <v>13.107528847206304</v>
      </c>
      <c r="M20" s="88"/>
      <c r="N20" s="88"/>
      <c r="O20" s="88"/>
      <c r="P20" s="88"/>
      <c r="Q20" s="111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24">
        <v>9.7100000000000009</v>
      </c>
      <c r="C21" s="24">
        <v>9.7100000000000009</v>
      </c>
      <c r="D21" s="24">
        <v>7.54</v>
      </c>
      <c r="E21" s="24">
        <v>7.54</v>
      </c>
      <c r="F21" s="553">
        <v>6.3815348618799748</v>
      </c>
      <c r="G21" s="5"/>
      <c r="H21" s="24">
        <v>9.7100000000000009</v>
      </c>
      <c r="I21" s="24">
        <v>9.7100000000000009</v>
      </c>
      <c r="J21" s="24">
        <v>7.54</v>
      </c>
      <c r="K21" s="24">
        <v>7.54</v>
      </c>
      <c r="L21" s="553">
        <v>6.3815348618799748</v>
      </c>
      <c r="M21" s="88"/>
      <c r="N21" s="88"/>
      <c r="O21" s="88"/>
      <c r="P21" s="88"/>
      <c r="Q21" s="111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20.47</v>
      </c>
      <c r="C22" s="24">
        <v>20.09</v>
      </c>
      <c r="D22" s="24">
        <v>20.56</v>
      </c>
      <c r="E22" s="24">
        <v>19.95</v>
      </c>
      <c r="F22" s="24">
        <v>14.67</v>
      </c>
      <c r="G22" s="5"/>
      <c r="H22" s="24">
        <v>20.41</v>
      </c>
      <c r="I22" s="24">
        <v>20.03</v>
      </c>
      <c r="J22" s="24">
        <v>20.29</v>
      </c>
      <c r="K22" s="24">
        <v>19.68</v>
      </c>
      <c r="L22" s="24">
        <v>14.67</v>
      </c>
      <c r="M22" s="88"/>
      <c r="N22" s="88"/>
      <c r="O22" s="88"/>
      <c r="P22" s="88"/>
      <c r="Q22" s="111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5"/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88"/>
      <c r="N23" s="88"/>
      <c r="O23" s="88"/>
      <c r="P23" s="88"/>
      <c r="Q23" s="111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8</v>
      </c>
      <c r="B24" s="24">
        <v>26.25</v>
      </c>
      <c r="C24" s="24">
        <v>26.25</v>
      </c>
      <c r="D24" s="24">
        <v>26.25</v>
      </c>
      <c r="E24" s="24">
        <v>26.25</v>
      </c>
      <c r="F24" s="24">
        <v>20</v>
      </c>
      <c r="G24" s="5"/>
      <c r="H24" s="24">
        <v>26.25</v>
      </c>
      <c r="I24" s="24">
        <v>26.25</v>
      </c>
      <c r="J24" s="24">
        <v>26.25</v>
      </c>
      <c r="K24" s="24">
        <v>26.25</v>
      </c>
      <c r="L24" s="24">
        <v>20</v>
      </c>
      <c r="M24" s="88"/>
      <c r="N24" s="88"/>
      <c r="O24" s="88"/>
      <c r="P24" s="88"/>
      <c r="Q24" s="111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1.05</v>
      </c>
      <c r="C25" s="24">
        <v>1.05</v>
      </c>
      <c r="D25" s="24">
        <v>1.05</v>
      </c>
      <c r="E25" s="24">
        <v>1.05</v>
      </c>
      <c r="F25" s="24">
        <v>0.8</v>
      </c>
      <c r="G25" s="5"/>
      <c r="H25" s="24">
        <v>1.05</v>
      </c>
      <c r="I25" s="24">
        <v>1.05</v>
      </c>
      <c r="J25" s="24">
        <v>1.05</v>
      </c>
      <c r="K25" s="24">
        <v>1.05</v>
      </c>
      <c r="L25" s="24">
        <v>0.8</v>
      </c>
      <c r="M25" s="88"/>
      <c r="N25" s="88"/>
      <c r="O25" s="88"/>
      <c r="P25" s="88"/>
      <c r="Q25" s="111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5"/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88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76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74.94</v>
      </c>
      <c r="C28" s="24">
        <v>74.94</v>
      </c>
      <c r="D28" s="24">
        <v>65.209999999999994</v>
      </c>
      <c r="E28" s="24">
        <v>65.209999999999994</v>
      </c>
      <c r="F28" s="24">
        <v>65.209999999999994</v>
      </c>
      <c r="G28" s="5"/>
      <c r="H28" s="24">
        <v>74.94</v>
      </c>
      <c r="I28" s="24">
        <v>74.94</v>
      </c>
      <c r="J28" s="24">
        <v>65.209999999999994</v>
      </c>
      <c r="K28" s="24">
        <v>65.209999999999994</v>
      </c>
      <c r="L28" s="24">
        <v>65.209999999999994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24.67</v>
      </c>
      <c r="C29" s="24">
        <v>15.96</v>
      </c>
      <c r="D29" s="24">
        <v>89.65</v>
      </c>
      <c r="E29" s="24">
        <v>70.75</v>
      </c>
      <c r="F29" s="24">
        <v>0</v>
      </c>
      <c r="G29" s="5"/>
      <c r="H29" s="24">
        <v>8.6999999999999993</v>
      </c>
      <c r="I29" s="24">
        <v>0</v>
      </c>
      <c r="J29" s="24">
        <v>18.899999999999999</v>
      </c>
      <c r="K29" s="24">
        <v>0</v>
      </c>
      <c r="L29" s="24">
        <v>0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3.75</v>
      </c>
      <c r="C30" s="24">
        <v>3.75</v>
      </c>
      <c r="D30" s="24">
        <v>3.26</v>
      </c>
      <c r="E30" s="24">
        <v>3.26</v>
      </c>
      <c r="F30" s="24">
        <v>3.26</v>
      </c>
      <c r="G30" s="56"/>
      <c r="H30" s="24">
        <v>3.75</v>
      </c>
      <c r="I30" s="24">
        <v>3.75</v>
      </c>
      <c r="J30" s="24">
        <v>3.26</v>
      </c>
      <c r="K30" s="24">
        <v>3.26</v>
      </c>
      <c r="L30" s="24">
        <v>3.26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9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1" t="s">
        <v>51</v>
      </c>
      <c r="B33" s="402">
        <f>(B4*B6*B7*B8)-B26</f>
        <v>493.5</v>
      </c>
      <c r="C33" s="402">
        <f t="shared" ref="C33:F33" si="0">(C4*C6*C7*C8)-C26</f>
        <v>493.5</v>
      </c>
      <c r="D33" s="402">
        <f t="shared" si="0"/>
        <v>493.5</v>
      </c>
      <c r="E33" s="402">
        <f t="shared" si="0"/>
        <v>493.5</v>
      </c>
      <c r="F33" s="402">
        <f t="shared" si="0"/>
        <v>376</v>
      </c>
      <c r="G33" s="400"/>
      <c r="H33" s="402">
        <f>(H4*H6*H7*H8)-H26</f>
        <v>370.125</v>
      </c>
      <c r="I33" s="402">
        <f t="shared" ref="I33:L33" si="1">(I4*I6*I7*I8)-I26</f>
        <v>370.125</v>
      </c>
      <c r="J33" s="402">
        <f t="shared" si="1"/>
        <v>370.125</v>
      </c>
      <c r="K33" s="402">
        <f t="shared" si="1"/>
        <v>370.125</v>
      </c>
      <c r="L33" s="402">
        <f t="shared" si="1"/>
        <v>282</v>
      </c>
      <c r="M33" s="115">
        <f t="shared" ref="M33:M38" si="2">SUM(B33:F33)+SUM(H33:L33)</f>
        <v>4112.5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391.74687355896077</v>
      </c>
      <c r="C34" s="96">
        <f t="shared" ref="C34:F34" si="3">C4*(SUM(C11:C17))</f>
        <v>384.64520338352213</v>
      </c>
      <c r="D34" s="96">
        <f t="shared" si="3"/>
        <v>390.49419999999998</v>
      </c>
      <c r="E34" s="96">
        <f t="shared" si="3"/>
        <v>379.70419999999996</v>
      </c>
      <c r="F34" s="96">
        <f t="shared" si="3"/>
        <v>274.50514486215536</v>
      </c>
      <c r="G34" s="3"/>
      <c r="H34" s="96">
        <f>H4*(SUM(H11:H17))</f>
        <v>391.74687355896077</v>
      </c>
      <c r="I34" s="96">
        <f t="shared" ref="I34:L34" si="4">I4*(SUM(I11:I17))</f>
        <v>384.64520338352213</v>
      </c>
      <c r="J34" s="96">
        <f t="shared" si="4"/>
        <v>390.49419999999998</v>
      </c>
      <c r="K34" s="96">
        <f t="shared" si="4"/>
        <v>379.70419999999996</v>
      </c>
      <c r="L34" s="96">
        <f t="shared" si="4"/>
        <v>274.50919999999996</v>
      </c>
      <c r="M34" s="115">
        <f t="shared" si="2"/>
        <v>3642.1952987471204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454.89687355896075</v>
      </c>
      <c r="C35" s="96">
        <f t="shared" ref="C35:F35" si="5">C4*SUM(C11:C21)</f>
        <v>446.52520338352213</v>
      </c>
      <c r="D35" s="96">
        <f t="shared" si="5"/>
        <v>456.85419999999999</v>
      </c>
      <c r="E35" s="96">
        <f t="shared" si="5"/>
        <v>443.31419999999997</v>
      </c>
      <c r="F35" s="96">
        <f t="shared" si="5"/>
        <v>325.99420857124164</v>
      </c>
      <c r="G35" s="3"/>
      <c r="H35" s="96">
        <f>H4*SUM(H11:H21)</f>
        <v>453.52687355896074</v>
      </c>
      <c r="I35" s="96">
        <f t="shared" ref="I35:L35" si="6">I4*SUM(I11:I21)</f>
        <v>445.15520338352212</v>
      </c>
      <c r="J35" s="96">
        <f t="shared" si="6"/>
        <v>450.89420000000001</v>
      </c>
      <c r="K35" s="96">
        <f t="shared" si="6"/>
        <v>437.35419999999999</v>
      </c>
      <c r="L35" s="96">
        <f t="shared" si="6"/>
        <v>325.99826370908625</v>
      </c>
      <c r="M35" s="115">
        <f t="shared" si="2"/>
        <v>4240.5134261652929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</f>
        <v>502.66687355896073</v>
      </c>
      <c r="C36" s="96">
        <f t="shared" ref="C36:F36" si="7">C4*(SUM(C11:C21)+SUM(C22:C25))</f>
        <v>493.91520338352211</v>
      </c>
      <c r="D36" s="96">
        <f t="shared" si="7"/>
        <v>504.71420000000001</v>
      </c>
      <c r="E36" s="96">
        <f t="shared" si="7"/>
        <v>490.56419999999997</v>
      </c>
      <c r="F36" s="96">
        <f t="shared" si="7"/>
        <v>361.46420857124167</v>
      </c>
      <c r="G36" s="3"/>
      <c r="H36" s="96">
        <f>H4*(SUM(H11:H21)+SUM(H22:H25))</f>
        <v>501.23687355896072</v>
      </c>
      <c r="I36" s="96">
        <f t="shared" ref="I36:L36" si="8">I4*(SUM(I11:I21)+SUM(I22:I25))</f>
        <v>492.48520338352211</v>
      </c>
      <c r="J36" s="96">
        <f t="shared" si="8"/>
        <v>498.48419999999999</v>
      </c>
      <c r="K36" s="96">
        <f t="shared" si="8"/>
        <v>484.33420000000001</v>
      </c>
      <c r="L36" s="96">
        <f t="shared" si="8"/>
        <v>361.46826370908627</v>
      </c>
      <c r="M36" s="115">
        <f t="shared" si="2"/>
        <v>4691.3334261652944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>B4*SUM(B28:B30)</f>
        <v>103.36</v>
      </c>
      <c r="C37" s="96">
        <f t="shared" ref="C37:F37" si="9">C4*SUM(C28:C30)</f>
        <v>94.65</v>
      </c>
      <c r="D37" s="96">
        <f t="shared" si="9"/>
        <v>158.12</v>
      </c>
      <c r="E37" s="96">
        <f t="shared" si="9"/>
        <v>139.21999999999997</v>
      </c>
      <c r="F37" s="96">
        <f t="shared" si="9"/>
        <v>68.47</v>
      </c>
      <c r="G37" s="3"/>
      <c r="H37" s="96">
        <f>H4*SUM(H28:H30)</f>
        <v>87.39</v>
      </c>
      <c r="I37" s="96">
        <f t="shared" ref="I37:L37" si="10">I4*SUM(I28:I30)</f>
        <v>78.69</v>
      </c>
      <c r="J37" s="96">
        <f t="shared" si="10"/>
        <v>87.36999999999999</v>
      </c>
      <c r="K37" s="96">
        <f t="shared" si="10"/>
        <v>68.47</v>
      </c>
      <c r="L37" s="96">
        <f t="shared" si="10"/>
        <v>68.47</v>
      </c>
      <c r="M37" s="115">
        <f t="shared" si="2"/>
        <v>954.20999999999992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606.02687355896069</v>
      </c>
      <c r="C38" s="96">
        <f t="shared" ref="C38:F38" si="11">SUM(C36:C37)</f>
        <v>588.56520338352209</v>
      </c>
      <c r="D38" s="96">
        <f t="shared" si="11"/>
        <v>662.83420000000001</v>
      </c>
      <c r="E38" s="96">
        <f t="shared" si="11"/>
        <v>629.78419999999994</v>
      </c>
      <c r="F38" s="96">
        <f t="shared" si="11"/>
        <v>429.9342085712417</v>
      </c>
      <c r="G38" s="3"/>
      <c r="H38" s="96">
        <f>SUM(H36:H37)</f>
        <v>588.62687355896071</v>
      </c>
      <c r="I38" s="96">
        <f t="shared" ref="I38:L38" si="12">SUM(I36:I37)</f>
        <v>571.1752033835221</v>
      </c>
      <c r="J38" s="96">
        <f t="shared" si="12"/>
        <v>585.85419999999999</v>
      </c>
      <c r="K38" s="96">
        <f t="shared" si="12"/>
        <v>552.80420000000004</v>
      </c>
      <c r="L38" s="96">
        <f t="shared" si="12"/>
        <v>429.9382637090863</v>
      </c>
      <c r="M38" s="115">
        <f t="shared" si="2"/>
        <v>5645.5434261652936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-112.52687355896069</v>
      </c>
      <c r="C39" s="97">
        <f t="shared" ref="C39:F39" si="13">(C4*C6*C7*C8)-C26-C38</f>
        <v>-95.065203383522089</v>
      </c>
      <c r="D39" s="97">
        <f t="shared" si="13"/>
        <v>-169.33420000000001</v>
      </c>
      <c r="E39" s="97">
        <f t="shared" si="13"/>
        <v>-136.28419999999994</v>
      </c>
      <c r="F39" s="97">
        <f t="shared" si="13"/>
        <v>-53.934208571241697</v>
      </c>
      <c r="G39" s="412"/>
      <c r="H39" s="97">
        <f>(H4*H6*H7*H8)-H26-H38</f>
        <v>-218.50187355896071</v>
      </c>
      <c r="I39" s="97">
        <f t="shared" ref="I39:L39" si="14">(I4*I6*I7*I8)-I26-I38</f>
        <v>-201.0502033835221</v>
      </c>
      <c r="J39" s="97">
        <f t="shared" si="14"/>
        <v>-215.72919999999999</v>
      </c>
      <c r="K39" s="97">
        <f t="shared" si="14"/>
        <v>-182.67920000000004</v>
      </c>
      <c r="L39" s="97">
        <f t="shared" si="14"/>
        <v>-147.9382637090863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16.440000000000001</v>
      </c>
      <c r="C41" s="395">
        <f t="shared" ref="C41:F41" si="15">C20*C4</f>
        <v>15.17</v>
      </c>
      <c r="D41" s="395">
        <f t="shared" si="15"/>
        <v>21.82</v>
      </c>
      <c r="E41" s="395">
        <f t="shared" si="15"/>
        <v>19.07</v>
      </c>
      <c r="F41" s="395">
        <f t="shared" si="15"/>
        <v>13.107528847206304</v>
      </c>
      <c r="G41" s="2"/>
      <c r="H41" s="395">
        <f>H20*H4</f>
        <v>15.07</v>
      </c>
      <c r="I41" s="395">
        <f t="shared" ref="I41:L41" si="16">I20*I4</f>
        <v>13.8</v>
      </c>
      <c r="J41" s="395">
        <f t="shared" si="16"/>
        <v>15.86</v>
      </c>
      <c r="K41" s="395">
        <f t="shared" si="16"/>
        <v>13.11</v>
      </c>
      <c r="L41" s="395">
        <f t="shared" si="16"/>
        <v>13.107528847206304</v>
      </c>
      <c r="M41" s="396">
        <f>SUM(B41:F41)+SUM(H41:L41)</f>
        <v>156.55505769441262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9.7100000000000009</v>
      </c>
      <c r="C42" s="395">
        <f t="shared" ref="C42:F42" si="17">C21*C4</f>
        <v>9.7100000000000009</v>
      </c>
      <c r="D42" s="395">
        <f t="shared" si="17"/>
        <v>7.54</v>
      </c>
      <c r="E42" s="395">
        <f t="shared" si="17"/>
        <v>7.54</v>
      </c>
      <c r="F42" s="395">
        <f t="shared" si="17"/>
        <v>6.3815348618799748</v>
      </c>
      <c r="G42" s="2"/>
      <c r="H42" s="395">
        <f>H21*H4</f>
        <v>9.7100000000000009</v>
      </c>
      <c r="I42" s="395">
        <f t="shared" ref="I42:L42" si="18">I21*I4</f>
        <v>9.7100000000000009</v>
      </c>
      <c r="J42" s="395">
        <f t="shared" si="18"/>
        <v>7.54</v>
      </c>
      <c r="K42" s="395">
        <f t="shared" si="18"/>
        <v>7.54</v>
      </c>
      <c r="L42" s="395">
        <f t="shared" si="18"/>
        <v>6.3815348618799748</v>
      </c>
      <c r="M42" s="396">
        <f>SUM(B42:F42)+SUM(H42:L42)</f>
        <v>81.763069723759955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99"/>
  <sheetViews>
    <sheetView workbookViewId="0">
      <selection activeCell="B3" sqref="B3"/>
    </sheetView>
  </sheetViews>
  <sheetFormatPr defaultRowHeight="15" x14ac:dyDescent="0.25"/>
  <cols>
    <col min="1" max="1" width="36.28515625" customWidth="1"/>
    <col min="10" max="10" width="0.85546875" customWidth="1"/>
    <col min="19" max="19" width="0.85546875" customWidth="1"/>
    <col min="28" max="28" width="0.85546875" customWidth="1"/>
    <col min="31" max="31" width="15.7109375" customWidth="1"/>
    <col min="32" max="32" width="9.28515625" customWidth="1"/>
    <col min="33" max="33" width="6.85546875" customWidth="1"/>
    <col min="34" max="35" width="8.5703125" customWidth="1"/>
    <col min="37" max="37" width="8.5703125" customWidth="1"/>
    <col min="38" max="39" width="6.85546875" customWidth="1"/>
    <col min="40" max="40" width="0.85546875" customWidth="1"/>
    <col min="41" max="41" width="6.85546875" customWidth="1"/>
    <col min="42" max="43" width="8.5703125" customWidth="1"/>
    <col min="45" max="45" width="8.5703125" customWidth="1"/>
    <col min="46" max="47" width="6.85546875" customWidth="1"/>
    <col min="48" max="48" width="0.85546875" customWidth="1"/>
    <col min="49" max="49" width="6.85546875" customWidth="1"/>
    <col min="50" max="51" width="8.5703125" customWidth="1"/>
    <col min="53" max="53" width="8.5703125" customWidth="1"/>
    <col min="54" max="55" width="6.85546875" customWidth="1"/>
    <col min="56" max="56" width="0.85546875" customWidth="1"/>
    <col min="57" max="59" width="8.5703125" customWidth="1"/>
    <col min="61" max="63" width="8.5703125" customWidth="1"/>
    <col min="64" max="64" width="0.85546875" customWidth="1"/>
    <col min="65" max="65" width="6.85546875" customWidth="1"/>
    <col min="66" max="67" width="8.5703125" customWidth="1"/>
    <col min="69" max="69" width="8.5703125" customWidth="1"/>
    <col min="70" max="71" width="6.85546875" customWidth="1"/>
    <col min="73" max="73" width="17" bestFit="1" customWidth="1"/>
  </cols>
  <sheetData>
    <row r="1" spans="1:85" ht="37.5" x14ac:dyDescent="0.3">
      <c r="A1" s="299"/>
      <c r="B1" s="297" t="s">
        <v>139</v>
      </c>
      <c r="C1" s="297"/>
      <c r="D1" s="297"/>
      <c r="E1" s="297"/>
      <c r="F1" s="297"/>
      <c r="G1" s="298"/>
      <c r="H1" s="297"/>
      <c r="I1" s="297"/>
      <c r="J1" s="339"/>
      <c r="K1" s="297" t="s">
        <v>138</v>
      </c>
      <c r="L1" s="296"/>
      <c r="M1" s="296"/>
      <c r="N1" s="296"/>
      <c r="O1" s="296"/>
      <c r="P1" s="295"/>
      <c r="Q1" s="294"/>
      <c r="R1" s="294"/>
      <c r="S1" s="236"/>
      <c r="T1" s="297" t="s">
        <v>137</v>
      </c>
      <c r="U1" s="296"/>
      <c r="V1" s="296"/>
      <c r="W1" s="296"/>
      <c r="X1" s="296"/>
      <c r="Y1" s="295"/>
      <c r="Z1" s="294"/>
      <c r="AA1" s="294"/>
      <c r="AB1" s="290"/>
      <c r="AC1" s="293" t="s">
        <v>136</v>
      </c>
      <c r="AD1" s="134"/>
      <c r="AE1" s="292"/>
      <c r="AF1" s="291"/>
      <c r="AG1" s="351" t="s">
        <v>135</v>
      </c>
      <c r="AH1" s="294"/>
      <c r="AI1" s="294"/>
      <c r="AJ1" s="294"/>
      <c r="AK1" s="294"/>
      <c r="AL1" s="294"/>
      <c r="AM1" s="294"/>
      <c r="AN1" s="290"/>
      <c r="AO1" s="351" t="s">
        <v>100</v>
      </c>
      <c r="AP1" s="294"/>
      <c r="AQ1" s="294"/>
      <c r="AR1" s="294"/>
      <c r="AS1" s="294"/>
      <c r="AT1" s="294"/>
      <c r="AU1" s="294"/>
      <c r="AV1" s="289"/>
      <c r="AW1" s="291" t="s">
        <v>134</v>
      </c>
      <c r="AX1" s="294"/>
      <c r="AY1" s="294"/>
      <c r="AZ1" s="294"/>
      <c r="BA1" s="294"/>
      <c r="BB1" s="294"/>
      <c r="BC1" s="294"/>
      <c r="BD1" s="289"/>
      <c r="BE1" s="351" t="s">
        <v>133</v>
      </c>
      <c r="BF1" s="294"/>
      <c r="BG1" s="294"/>
      <c r="BH1" s="294"/>
      <c r="BI1" s="294"/>
      <c r="BJ1" s="294"/>
      <c r="BK1" s="294"/>
      <c r="BL1" s="289"/>
      <c r="BM1" s="291" t="s">
        <v>132</v>
      </c>
      <c r="BN1" s="294"/>
      <c r="BO1" s="294"/>
      <c r="BP1" s="294"/>
      <c r="BQ1" s="294"/>
      <c r="BR1" s="352"/>
      <c r="BS1" s="219"/>
      <c r="BT1" s="134"/>
      <c r="BU1" s="167" t="s">
        <v>131</v>
      </c>
      <c r="BV1" s="167"/>
      <c r="BW1" s="167"/>
      <c r="BX1" s="167"/>
      <c r="BY1" s="167"/>
      <c r="BZ1" s="167"/>
      <c r="CA1" s="167"/>
      <c r="CB1" s="281">
        <v>1</v>
      </c>
      <c r="CC1" s="281">
        <v>2</v>
      </c>
      <c r="CD1" s="281">
        <v>3</v>
      </c>
      <c r="CE1" s="281">
        <v>4</v>
      </c>
      <c r="CF1" s="281">
        <v>5</v>
      </c>
      <c r="CG1" s="280">
        <v>6</v>
      </c>
    </row>
    <row r="2" spans="1:85" x14ac:dyDescent="0.25">
      <c r="A2" s="173" t="s">
        <v>130</v>
      </c>
      <c r="B2" s="288" t="s">
        <v>33</v>
      </c>
      <c r="C2" s="288" t="s">
        <v>36</v>
      </c>
      <c r="D2" s="288" t="s">
        <v>92</v>
      </c>
      <c r="E2" s="288" t="s">
        <v>143</v>
      </c>
      <c r="F2" s="288" t="s">
        <v>37</v>
      </c>
      <c r="G2" s="287" t="s">
        <v>38</v>
      </c>
      <c r="H2" s="288" t="s">
        <v>146</v>
      </c>
      <c r="I2" s="334" t="s">
        <v>39</v>
      </c>
      <c r="J2" s="340"/>
      <c r="K2" s="288" t="s">
        <v>33</v>
      </c>
      <c r="L2" s="288" t="s">
        <v>36</v>
      </c>
      <c r="M2" s="288" t="s">
        <v>92</v>
      </c>
      <c r="N2" s="288" t="s">
        <v>143</v>
      </c>
      <c r="O2" s="288" t="s">
        <v>37</v>
      </c>
      <c r="P2" s="287" t="s">
        <v>38</v>
      </c>
      <c r="Q2" s="286" t="s">
        <v>146</v>
      </c>
      <c r="R2" s="144" t="s">
        <v>39</v>
      </c>
      <c r="S2" s="2"/>
      <c r="T2" s="288" t="s">
        <v>33</v>
      </c>
      <c r="U2" s="288" t="s">
        <v>36</v>
      </c>
      <c r="V2" s="288" t="s">
        <v>92</v>
      </c>
      <c r="W2" s="288" t="s">
        <v>143</v>
      </c>
      <c r="X2" s="288" t="s">
        <v>37</v>
      </c>
      <c r="Y2" s="287" t="s">
        <v>38</v>
      </c>
      <c r="Z2" s="286" t="s">
        <v>146</v>
      </c>
      <c r="AA2" s="172" t="s">
        <v>39</v>
      </c>
      <c r="AB2" s="41"/>
      <c r="AC2" s="285" t="s">
        <v>34</v>
      </c>
      <c r="AD2" s="284"/>
      <c r="AE2" s="283"/>
      <c r="AF2" s="282" t="s">
        <v>93</v>
      </c>
      <c r="AG2" s="334" t="s">
        <v>33</v>
      </c>
      <c r="AH2" s="144" t="s">
        <v>36</v>
      </c>
      <c r="AI2" s="144" t="s">
        <v>92</v>
      </c>
      <c r="AJ2" s="144" t="s">
        <v>143</v>
      </c>
      <c r="AK2" s="144" t="s">
        <v>37</v>
      </c>
      <c r="AL2" s="144" t="s">
        <v>38</v>
      </c>
      <c r="AM2" s="172" t="s">
        <v>146</v>
      </c>
      <c r="AN2" s="41"/>
      <c r="AO2" s="334" t="s">
        <v>33</v>
      </c>
      <c r="AP2" s="144" t="s">
        <v>36</v>
      </c>
      <c r="AQ2" s="144" t="s">
        <v>92</v>
      </c>
      <c r="AR2" s="144" t="s">
        <v>143</v>
      </c>
      <c r="AS2" s="144" t="s">
        <v>37</v>
      </c>
      <c r="AT2" s="144" t="s">
        <v>38</v>
      </c>
      <c r="AU2" s="172" t="s">
        <v>146</v>
      </c>
      <c r="AV2" s="2"/>
      <c r="AW2" s="334" t="s">
        <v>33</v>
      </c>
      <c r="AX2" s="144" t="s">
        <v>36</v>
      </c>
      <c r="AY2" s="144" t="s">
        <v>92</v>
      </c>
      <c r="AZ2" s="144" t="s">
        <v>143</v>
      </c>
      <c r="BA2" s="144" t="s">
        <v>37</v>
      </c>
      <c r="BB2" s="144" t="s">
        <v>38</v>
      </c>
      <c r="BC2" s="172" t="s">
        <v>146</v>
      </c>
      <c r="BD2" s="2"/>
      <c r="BE2" s="334" t="s">
        <v>33</v>
      </c>
      <c r="BF2" s="144" t="s">
        <v>36</v>
      </c>
      <c r="BG2" s="144" t="s">
        <v>92</v>
      </c>
      <c r="BH2" s="144" t="s">
        <v>143</v>
      </c>
      <c r="BI2" s="144" t="s">
        <v>37</v>
      </c>
      <c r="BJ2" s="144" t="s">
        <v>38</v>
      </c>
      <c r="BK2" s="172" t="s">
        <v>146</v>
      </c>
      <c r="BL2" s="2"/>
      <c r="BM2" s="334" t="s">
        <v>33</v>
      </c>
      <c r="BN2" s="144" t="s">
        <v>36</v>
      </c>
      <c r="BO2" s="144" t="s">
        <v>92</v>
      </c>
      <c r="BP2" s="144" t="s">
        <v>143</v>
      </c>
      <c r="BQ2" s="144" t="s">
        <v>37</v>
      </c>
      <c r="BR2" s="144" t="s">
        <v>38</v>
      </c>
      <c r="BS2" s="172" t="s">
        <v>146</v>
      </c>
      <c r="BT2" s="134"/>
      <c r="BU2" s="167" t="s">
        <v>93</v>
      </c>
      <c r="BV2" s="281">
        <v>2008</v>
      </c>
      <c r="BW2" s="281">
        <v>2009</v>
      </c>
      <c r="BX2" s="281">
        <v>2010</v>
      </c>
      <c r="BY2" s="281">
        <v>2011</v>
      </c>
      <c r="BZ2" s="281">
        <v>2012</v>
      </c>
      <c r="CA2" s="281">
        <v>2013</v>
      </c>
      <c r="CB2" s="281">
        <v>2014</v>
      </c>
      <c r="CC2" s="281">
        <v>2015</v>
      </c>
      <c r="CD2" s="281">
        <v>2016</v>
      </c>
      <c r="CE2" s="281">
        <v>2017</v>
      </c>
      <c r="CF2" s="281">
        <v>2018</v>
      </c>
      <c r="CG2" s="280">
        <v>2019</v>
      </c>
    </row>
    <row r="3" spans="1:85" x14ac:dyDescent="0.25">
      <c r="A3" s="242" t="s">
        <v>107</v>
      </c>
      <c r="B3" s="377">
        <f>National_County!B3</f>
        <v>0</v>
      </c>
      <c r="C3" s="377">
        <f>National_County!C3</f>
        <v>0</v>
      </c>
      <c r="D3" s="377">
        <f>National_County!D3</f>
        <v>0</v>
      </c>
      <c r="E3" s="377">
        <f>National_County!E3</f>
        <v>0</v>
      </c>
      <c r="F3" s="377">
        <f>National_County!F3</f>
        <v>0</v>
      </c>
      <c r="G3" s="377">
        <f>National_County!G3</f>
        <v>0</v>
      </c>
      <c r="H3" s="377">
        <f>National_County!H3</f>
        <v>435</v>
      </c>
      <c r="I3" s="191"/>
      <c r="J3" s="341"/>
      <c r="K3" s="375">
        <f t="shared" ref="K3:Q3" si="0">B3</f>
        <v>0</v>
      </c>
      <c r="L3" s="376">
        <f t="shared" si="0"/>
        <v>0</v>
      </c>
      <c r="M3" s="376">
        <f t="shared" si="0"/>
        <v>0</v>
      </c>
      <c r="N3" s="376">
        <f t="shared" si="0"/>
        <v>0</v>
      </c>
      <c r="O3" s="376">
        <f t="shared" si="0"/>
        <v>0</v>
      </c>
      <c r="P3" s="376">
        <f t="shared" si="0"/>
        <v>0</v>
      </c>
      <c r="Q3" s="376">
        <f t="shared" si="0"/>
        <v>435</v>
      </c>
      <c r="R3" s="191"/>
      <c r="S3" s="2"/>
      <c r="T3" s="375">
        <f t="shared" ref="T3:Z3" si="1">B3</f>
        <v>0</v>
      </c>
      <c r="U3" s="376">
        <f t="shared" si="1"/>
        <v>0</v>
      </c>
      <c r="V3" s="376">
        <f t="shared" si="1"/>
        <v>0</v>
      </c>
      <c r="W3" s="376">
        <f t="shared" si="1"/>
        <v>0</v>
      </c>
      <c r="X3" s="376">
        <f t="shared" si="1"/>
        <v>0</v>
      </c>
      <c r="Y3" s="376">
        <f t="shared" si="1"/>
        <v>0</v>
      </c>
      <c r="Z3" s="376">
        <f t="shared" si="1"/>
        <v>435</v>
      </c>
      <c r="AA3" s="191"/>
      <c r="AB3" s="136"/>
      <c r="AC3" s="194">
        <v>0.67300000000000004</v>
      </c>
      <c r="AD3" s="134"/>
      <c r="AE3" s="246"/>
      <c r="AF3" s="244">
        <v>2013</v>
      </c>
      <c r="AG3" s="245">
        <v>185.29612756264237</v>
      </c>
      <c r="AH3" s="243">
        <v>46.170037453183518</v>
      </c>
      <c r="AI3" s="243">
        <v>167.12041884816753</v>
      </c>
      <c r="AJ3" s="243">
        <v>167.12041884816753</v>
      </c>
      <c r="AK3" s="243">
        <v>98.837209302325576</v>
      </c>
      <c r="AL3" s="243">
        <v>56.073529411764703</v>
      </c>
      <c r="AM3" s="360">
        <v>2.5</v>
      </c>
      <c r="AN3" s="41"/>
      <c r="AO3" s="245">
        <v>185.29612756264237</v>
      </c>
      <c r="AP3" s="243">
        <v>46.170037453183518</v>
      </c>
      <c r="AQ3" s="243">
        <v>167.12041884816753</v>
      </c>
      <c r="AR3" s="243">
        <v>167.12041884816753</v>
      </c>
      <c r="AS3" s="243">
        <v>98.837209302325576</v>
      </c>
      <c r="AT3" s="243">
        <v>56.073529411764703</v>
      </c>
      <c r="AU3" s="360">
        <v>2.5</v>
      </c>
      <c r="AV3" s="236">
        <f>GP_Owned_CashRent!S13</f>
        <v>0</v>
      </c>
      <c r="AW3" s="275">
        <f>MAX(AW21,GP_Owned_CashRent!K$15)</f>
        <v>4.5</v>
      </c>
      <c r="AX3" s="275">
        <f>MAX(AX21,GP_Owned_CashRent!L$15)</f>
        <v>12.7</v>
      </c>
      <c r="AY3" s="275">
        <f>MAX(AY21,GP_Owned_CashRent!M$15)</f>
        <v>6.5880000000000001</v>
      </c>
      <c r="AZ3" s="275">
        <f>MAX(AZ21,GP_Owned_CashRent!N$15)</f>
        <v>7.59</v>
      </c>
      <c r="BA3" s="275">
        <f>MAX(BA21,GP_Owned_CashRent!O$15)</f>
        <v>4.2560000000000002</v>
      </c>
      <c r="BB3" s="275">
        <f>MAX(BB21,GP_Owned_CashRent!P$15)</f>
        <v>6.8</v>
      </c>
      <c r="BC3" s="275">
        <v>350</v>
      </c>
      <c r="BD3" s="236">
        <f>GP_Owned_CashRent!AB13</f>
        <v>0</v>
      </c>
      <c r="BE3" s="271">
        <f>AG3*MAX(AW3,GP_Owned_CashRent!T$15)</f>
        <v>833.83257403189066</v>
      </c>
      <c r="BF3" s="96">
        <f>AH3*MAX(AX3,GP_Owned_CashRent!U$15)</f>
        <v>586.35947565543063</v>
      </c>
      <c r="BG3" s="96">
        <f>AI3*MAX(AY3,GP_Owned_CashRent!V$15)</f>
        <v>1100.9893193717278</v>
      </c>
      <c r="BH3" s="96">
        <f>AJ3*MAX(AZ3,GP_Owned_CashRent!W$15)</f>
        <v>1268.4439790575916</v>
      </c>
      <c r="BI3" s="96">
        <f>AK3*MAX(BA3,GP_Owned_CashRent!X$15)</f>
        <v>420.6511627906977</v>
      </c>
      <c r="BJ3" s="96">
        <f>AL3*MAX(BB3,GP_Owned_CashRent!Y$15)</f>
        <v>381.29999999999995</v>
      </c>
      <c r="BK3" s="96">
        <f>AM3*MAX(BC3,GP_Owned_CashRent!Z$15)</f>
        <v>875</v>
      </c>
      <c r="BL3" s="236" t="e">
        <v>#REF!</v>
      </c>
      <c r="BM3" s="22">
        <v>5.2</v>
      </c>
      <c r="BN3" s="22">
        <v>13.1</v>
      </c>
      <c r="BO3" s="22">
        <v>6.5880000000000001</v>
      </c>
      <c r="BP3" s="22">
        <v>7.59</v>
      </c>
      <c r="BQ3" s="22">
        <v>4.9559999999999995</v>
      </c>
      <c r="BR3" s="22">
        <v>6.95</v>
      </c>
      <c r="BS3" s="22">
        <v>435</v>
      </c>
      <c r="BT3" s="134"/>
      <c r="BU3" s="208" t="s">
        <v>107</v>
      </c>
      <c r="BV3" s="208"/>
      <c r="BW3" s="208"/>
      <c r="BX3" s="208"/>
      <c r="BY3" s="208"/>
      <c r="BZ3" s="208"/>
      <c r="CA3" s="208"/>
      <c r="CB3" s="279"/>
      <c r="CC3" s="208"/>
      <c r="CD3" s="208"/>
      <c r="CE3" s="208"/>
      <c r="CF3" s="208"/>
      <c r="CG3" s="208"/>
    </row>
    <row r="4" spans="1:85" x14ac:dyDescent="0.25">
      <c r="A4" s="242" t="s">
        <v>129</v>
      </c>
      <c r="B4" s="347"/>
      <c r="C4" s="276"/>
      <c r="D4" s="276"/>
      <c r="E4" s="276"/>
      <c r="F4" s="276"/>
      <c r="G4" s="276"/>
      <c r="H4" s="243"/>
      <c r="I4" s="41"/>
      <c r="J4" s="342"/>
      <c r="K4" s="347"/>
      <c r="L4" s="276"/>
      <c r="M4" s="276"/>
      <c r="N4" s="276"/>
      <c r="O4" s="276"/>
      <c r="P4" s="276"/>
      <c r="Q4" s="243"/>
      <c r="R4" s="41"/>
      <c r="S4" s="343"/>
      <c r="T4" s="347">
        <v>180</v>
      </c>
      <c r="U4" s="276">
        <v>50</v>
      </c>
      <c r="V4" s="276">
        <v>170</v>
      </c>
      <c r="W4" s="276">
        <v>170</v>
      </c>
      <c r="X4" s="276">
        <v>90</v>
      </c>
      <c r="Y4" s="276">
        <v>60</v>
      </c>
      <c r="Z4" s="359">
        <v>2.5</v>
      </c>
      <c r="AA4" s="41"/>
      <c r="AB4" s="136"/>
      <c r="AC4" s="253">
        <v>1200</v>
      </c>
      <c r="AD4" s="134"/>
      <c r="AE4" s="246"/>
      <c r="AF4" s="244">
        <v>2012</v>
      </c>
      <c r="AG4" s="245">
        <v>174.97878359264499</v>
      </c>
      <c r="AH4" s="243">
        <v>47.660079051383399</v>
      </c>
      <c r="AI4" s="243">
        <v>165.73617021276596</v>
      </c>
      <c r="AJ4" s="243">
        <v>165.73617021276596</v>
      </c>
      <c r="AK4" s="243">
        <v>81.582733812949641</v>
      </c>
      <c r="AL4" s="243">
        <v>45</v>
      </c>
      <c r="AM4" s="360">
        <v>2.5</v>
      </c>
      <c r="AN4" s="41"/>
      <c r="AO4" s="245">
        <v>174.97878359264499</v>
      </c>
      <c r="AP4" s="243">
        <v>47.660079051383399</v>
      </c>
      <c r="AQ4" s="243">
        <v>165.73617021276596</v>
      </c>
      <c r="AR4" s="243">
        <v>165.73617021276596</v>
      </c>
      <c r="AS4" s="243">
        <v>81.582733812949641</v>
      </c>
      <c r="AT4" s="243">
        <v>45</v>
      </c>
      <c r="AU4" s="360">
        <v>2.5</v>
      </c>
      <c r="AV4" s="2">
        <f>GP_Owned_CashRent!S15</f>
        <v>0</v>
      </c>
      <c r="AW4" s="275">
        <f>MAX(AW22,GP_Owned_CashRent!K$15)</f>
        <v>6.89</v>
      </c>
      <c r="AX4" s="275">
        <f>MAX(AX22,GP_Owned_CashRent!L$15)</f>
        <v>14.4</v>
      </c>
      <c r="AY4" s="275">
        <f>MAX(AY22,GP_Owned_CashRent!M$15)</f>
        <v>6.5249999999999995</v>
      </c>
      <c r="AZ4" s="275">
        <f>MAX(AZ22,GP_Owned_CashRent!N$15)</f>
        <v>7.53</v>
      </c>
      <c r="BA4" s="275">
        <f>MAX(BA22,GP_Owned_CashRent!O$15)</f>
        <v>6.3280000000000003</v>
      </c>
      <c r="BB4" s="275">
        <f>MAX(BB22,GP_Owned_CashRent!P$15)</f>
        <v>7.77</v>
      </c>
      <c r="BC4" s="275">
        <v>350</v>
      </c>
      <c r="BD4" s="2">
        <f>GP_Owned_CashRent!AB15</f>
        <v>0</v>
      </c>
      <c r="BE4" s="271">
        <f>AG4*MAX(AW4,GP_Owned_CashRent!T$15)</f>
        <v>1205.603818953324</v>
      </c>
      <c r="BF4" s="96">
        <f>AH4*MAX(AX4,GP_Owned_CashRent!U$15)</f>
        <v>686.30513833992097</v>
      </c>
      <c r="BG4" s="96">
        <f>AI4*MAX(AY4,GP_Owned_CashRent!V$15)</f>
        <v>1081.4285106382977</v>
      </c>
      <c r="BH4" s="96">
        <f>AJ4*MAX(AZ4,GP_Owned_CashRent!W$15)</f>
        <v>1247.9933617021277</v>
      </c>
      <c r="BI4" s="96">
        <f>AK4*MAX(BA4,GP_Owned_CashRent!X$15)</f>
        <v>516.2555395683454</v>
      </c>
      <c r="BJ4" s="96">
        <f>AL4*MAX(BB4,GP_Owned_CashRent!Y$15)</f>
        <v>349.65</v>
      </c>
      <c r="BK4" s="96">
        <f>AM4*MAX(BC4,GP_Owned_CashRent!Z$15)</f>
        <v>875</v>
      </c>
      <c r="BL4" s="2" t="e">
        <v>#REF!</v>
      </c>
      <c r="BM4" s="22">
        <v>6.81</v>
      </c>
      <c r="BN4" s="22">
        <v>14.3</v>
      </c>
      <c r="BO4" s="22">
        <v>6.5249999999999995</v>
      </c>
      <c r="BP4" s="22">
        <v>7.53</v>
      </c>
      <c r="BQ4" s="22">
        <v>6.2160000000000002</v>
      </c>
      <c r="BR4" s="22">
        <v>6.84</v>
      </c>
      <c r="BS4" s="22">
        <v>435</v>
      </c>
      <c r="BT4" s="134"/>
      <c r="BU4" t="s">
        <v>33</v>
      </c>
      <c r="BV4" s="135">
        <v>4.0599999999999996</v>
      </c>
      <c r="BW4" s="135">
        <v>3.7</v>
      </c>
      <c r="BX4" s="135">
        <v>5.18</v>
      </c>
      <c r="BY4" s="135">
        <v>6.22</v>
      </c>
      <c r="BZ4" s="135">
        <v>6.89</v>
      </c>
      <c r="CA4" s="135">
        <v>4.5</v>
      </c>
      <c r="CB4" s="135">
        <f>GP_Owned_CashRent!$B$3</f>
        <v>0</v>
      </c>
      <c r="CC4" s="135">
        <f t="shared" ref="CC4:CG8" si="2">CB4*CC$33</f>
        <v>0</v>
      </c>
      <c r="CD4" s="135">
        <f t="shared" si="2"/>
        <v>0</v>
      </c>
      <c r="CE4" s="135">
        <f t="shared" si="2"/>
        <v>0</v>
      </c>
      <c r="CF4" s="135">
        <f t="shared" si="2"/>
        <v>0</v>
      </c>
      <c r="CG4" s="262">
        <f t="shared" si="2"/>
        <v>0</v>
      </c>
    </row>
    <row r="5" spans="1:85" x14ac:dyDescent="0.25">
      <c r="A5" s="242" t="s">
        <v>128</v>
      </c>
      <c r="B5" s="176"/>
      <c r="C5" s="29"/>
      <c r="D5" s="29"/>
      <c r="E5" s="29"/>
      <c r="F5" s="29"/>
      <c r="G5" s="29"/>
      <c r="H5" s="41"/>
      <c r="I5" s="274"/>
      <c r="J5" s="342"/>
      <c r="K5" s="372">
        <f>National_County!B5</f>
        <v>0</v>
      </c>
      <c r="L5" s="373">
        <f>National_County!C5</f>
        <v>0</v>
      </c>
      <c r="M5" s="373">
        <f>National_County!D5</f>
        <v>0</v>
      </c>
      <c r="N5" s="373">
        <f>National_County!E5</f>
        <v>0</v>
      </c>
      <c r="O5" s="373">
        <f>National_County!F5</f>
        <v>0</v>
      </c>
      <c r="P5" s="373">
        <f>National_County!G5</f>
        <v>0</v>
      </c>
      <c r="Q5" s="374">
        <f>National_County!H5</f>
        <v>2.5</v>
      </c>
      <c r="R5" s="274"/>
      <c r="S5" s="343"/>
      <c r="T5" s="337" t="s">
        <v>86</v>
      </c>
      <c r="U5" s="181" t="s">
        <v>86</v>
      </c>
      <c r="V5" s="182" t="s">
        <v>86</v>
      </c>
      <c r="W5" s="182"/>
      <c r="X5" s="182" t="s">
        <v>86</v>
      </c>
      <c r="Y5" s="181" t="s">
        <v>86</v>
      </c>
      <c r="Z5" s="273"/>
      <c r="AA5" s="273"/>
      <c r="AB5" s="41"/>
      <c r="AC5" s="178"/>
      <c r="AD5" s="134"/>
      <c r="AE5" s="246"/>
      <c r="AF5" s="244">
        <v>2011</v>
      </c>
      <c r="AG5" s="245">
        <v>132.80575539568346</v>
      </c>
      <c r="AH5" s="243">
        <v>42.017510468214695</v>
      </c>
      <c r="AI5" s="243">
        <v>145.42789598108749</v>
      </c>
      <c r="AJ5" s="243">
        <v>145.42789598108749</v>
      </c>
      <c r="AK5" s="243">
        <v>65.454545454545453</v>
      </c>
      <c r="AL5" s="243">
        <v>48.645161290322584</v>
      </c>
      <c r="AM5" s="360">
        <v>2.5</v>
      </c>
      <c r="AN5" s="41"/>
      <c r="AO5" s="245">
        <v>132.80575539568346</v>
      </c>
      <c r="AP5" s="243">
        <v>42.017510468214695</v>
      </c>
      <c r="AQ5" s="243">
        <v>145.42789598108749</v>
      </c>
      <c r="AR5" s="243">
        <v>145.42789598108749</v>
      </c>
      <c r="AS5" s="243">
        <v>65.454545454545453</v>
      </c>
      <c r="AT5" s="243">
        <v>48.645161290322584</v>
      </c>
      <c r="AU5" s="360">
        <v>2.5</v>
      </c>
      <c r="AV5" s="2">
        <f>GP_Owned_CashRent!S16</f>
        <v>0</v>
      </c>
      <c r="AW5" s="275">
        <f>MAX(AW23,GP_Owned_CashRent!K$15)</f>
        <v>6.22</v>
      </c>
      <c r="AX5" s="275">
        <f>MAX(AX23,GP_Owned_CashRent!L$15)</f>
        <v>12.5</v>
      </c>
      <c r="AY5" s="275">
        <f>MAX(AY23,GP_Owned_CashRent!M$15)</f>
        <v>6.3000000000000007</v>
      </c>
      <c r="AZ5" s="275">
        <f>MAX(AZ23,GP_Owned_CashRent!N$15)</f>
        <v>7.03</v>
      </c>
      <c r="BA5" s="275">
        <f>MAX(BA23,GP_Owned_CashRent!O$15)</f>
        <v>5.992</v>
      </c>
      <c r="BB5" s="275">
        <f>MAX(BB23,GP_Owned_CashRent!P$15)</f>
        <v>7.24</v>
      </c>
      <c r="BC5" s="275">
        <v>350</v>
      </c>
      <c r="BD5" s="2">
        <f>GP_Owned_CashRent!AB16</f>
        <v>0</v>
      </c>
      <c r="BE5" s="271">
        <f>AG5*MAX(AW5,GP_Owned_CashRent!T$15)</f>
        <v>826.05179856115114</v>
      </c>
      <c r="BF5" s="96">
        <f>AH5*MAX(AX5,GP_Owned_CashRent!U$15)</f>
        <v>525.2188808526837</v>
      </c>
      <c r="BG5" s="96">
        <f>AI5*MAX(AY5,GP_Owned_CashRent!V$15)</f>
        <v>916.19574468085125</v>
      </c>
      <c r="BH5" s="96">
        <f>AJ5*MAX(AZ5,GP_Owned_CashRent!W$15)</f>
        <v>1022.3581087470451</v>
      </c>
      <c r="BI5" s="96">
        <f>AK5*MAX(BA5,GP_Owned_CashRent!X$15)</f>
        <v>392.20363636363635</v>
      </c>
      <c r="BJ5" s="96">
        <f>AL5*MAX(BB5,GP_Owned_CashRent!Y$15)</f>
        <v>352.19096774193554</v>
      </c>
      <c r="BK5" s="96">
        <f>AM5*MAX(BC5,GP_Owned_CashRent!Z$15)</f>
        <v>875</v>
      </c>
      <c r="BL5" s="2" t="e">
        <v>#REF!</v>
      </c>
      <c r="BM5" s="22">
        <v>6.27</v>
      </c>
      <c r="BN5" s="22">
        <v>12.3</v>
      </c>
      <c r="BO5" s="22">
        <v>6.03</v>
      </c>
      <c r="BP5" s="22">
        <v>7.03</v>
      </c>
      <c r="BQ5" s="22">
        <v>5.7119999999999997</v>
      </c>
      <c r="BR5" s="22">
        <v>7.19</v>
      </c>
      <c r="BS5" s="22">
        <v>435</v>
      </c>
      <c r="BT5" s="134"/>
      <c r="BU5" t="s">
        <v>36</v>
      </c>
      <c r="BV5" s="135">
        <v>9.9700000000000006</v>
      </c>
      <c r="BW5" s="135">
        <v>9.59</v>
      </c>
      <c r="BX5" s="135">
        <v>11.3</v>
      </c>
      <c r="BY5" s="135">
        <v>12.5</v>
      </c>
      <c r="BZ5" s="135">
        <v>14.4</v>
      </c>
      <c r="CA5" s="135">
        <v>12.7</v>
      </c>
      <c r="CB5" s="135">
        <f>GP_Owned_CashRent!$C$3</f>
        <v>0</v>
      </c>
      <c r="CC5" s="135">
        <f t="shared" si="2"/>
        <v>0</v>
      </c>
      <c r="CD5" s="135">
        <f t="shared" si="2"/>
        <v>0</v>
      </c>
      <c r="CE5" s="135">
        <f t="shared" si="2"/>
        <v>0</v>
      </c>
      <c r="CF5" s="135">
        <f t="shared" si="2"/>
        <v>0</v>
      </c>
      <c r="CG5" s="262">
        <f t="shared" si="2"/>
        <v>0</v>
      </c>
    </row>
    <row r="6" spans="1:85" x14ac:dyDescent="0.25">
      <c r="A6" s="242" t="s">
        <v>127</v>
      </c>
      <c r="B6" s="176"/>
      <c r="C6" s="29"/>
      <c r="D6" s="29"/>
      <c r="E6" s="29"/>
      <c r="F6" s="29"/>
      <c r="G6" s="29"/>
      <c r="H6" s="171"/>
      <c r="I6" s="171"/>
      <c r="J6" s="342"/>
      <c r="K6" s="261">
        <f>GP_Owned_CashRent!AO10</f>
        <v>154.91830190408828</v>
      </c>
      <c r="L6" s="260">
        <f>GP_Owned_CashRent!AP10</f>
        <v>42.499199676241183</v>
      </c>
      <c r="M6" s="260">
        <f>GP_Owned_CashRent!AQ10</f>
        <v>153.199309542572</v>
      </c>
      <c r="N6" s="260">
        <f>GP_Owned_CashRent!AR10</f>
        <v>153.199309542572</v>
      </c>
      <c r="O6" s="260">
        <f>GP_Owned_CashRent!AS10</f>
        <v>75.211338621410562</v>
      </c>
      <c r="P6" s="260">
        <f>GP_Owned_CashRent!AT10</f>
        <v>44.715053763440864</v>
      </c>
      <c r="Q6" s="363">
        <f>GP_Owned_CashRent!AU10</f>
        <v>2.5</v>
      </c>
      <c r="R6" s="274"/>
      <c r="S6" s="343"/>
      <c r="T6" s="258" t="s">
        <v>86</v>
      </c>
      <c r="U6" s="258" t="s">
        <v>86</v>
      </c>
      <c r="V6" s="258" t="s">
        <v>86</v>
      </c>
      <c r="W6" s="258"/>
      <c r="X6" s="258" t="s">
        <v>86</v>
      </c>
      <c r="Y6" s="258" t="s">
        <v>86</v>
      </c>
      <c r="Z6" s="258"/>
      <c r="AA6" s="258"/>
      <c r="AB6" s="41"/>
      <c r="AC6" s="178"/>
      <c r="AD6" s="134"/>
      <c r="AE6" s="246"/>
      <c r="AF6" s="244">
        <v>2010</v>
      </c>
      <c r="AG6" s="245">
        <v>147.66839378238342</v>
      </c>
      <c r="AH6" s="243">
        <v>39.310051107325386</v>
      </c>
      <c r="AI6" s="243">
        <v>143.10553814002088</v>
      </c>
      <c r="AJ6" s="243">
        <v>143.10553814002088</v>
      </c>
      <c r="AK6" s="243">
        <v>69.102564102564102</v>
      </c>
      <c r="AL6" s="243">
        <v>40.5</v>
      </c>
      <c r="AM6" s="360">
        <v>2.5</v>
      </c>
      <c r="AN6" s="41"/>
      <c r="AO6" s="245">
        <v>147.66839378238342</v>
      </c>
      <c r="AP6" s="243">
        <v>39.310051107325386</v>
      </c>
      <c r="AQ6" s="243">
        <v>143.10553814002088</v>
      </c>
      <c r="AR6" s="243">
        <v>143.10553814002088</v>
      </c>
      <c r="AS6" s="243">
        <v>69.102564102564102</v>
      </c>
      <c r="AT6" s="243">
        <v>40.5</v>
      </c>
      <c r="AU6" s="360">
        <v>2.5</v>
      </c>
      <c r="AV6" s="2">
        <f>GP_Owned_CashRent!S17</f>
        <v>0</v>
      </c>
      <c r="AW6" s="272">
        <f>MAX(AW24,GP_Owned_CashRent!K$15)</f>
        <v>5.18</v>
      </c>
      <c r="AX6" s="272">
        <f>MAX(AX24,GP_Owned_CashRent!L$15)</f>
        <v>11.3</v>
      </c>
      <c r="AY6" s="272">
        <f>MAX(AY24,GP_Owned_CashRent!M$15)</f>
        <v>6.3000000000000007</v>
      </c>
      <c r="AZ6" s="272">
        <f>MAX(AZ24,GP_Owned_CashRent!N$15)</f>
        <v>6.3000000000000007</v>
      </c>
      <c r="BA6" s="272">
        <f>MAX(BA24,GP_Owned_CashRent!O$15)</f>
        <v>5.0176000000000007</v>
      </c>
      <c r="BB6" s="272">
        <f>MAX(BB24,GP_Owned_CashRent!P$15)</f>
        <v>5.7</v>
      </c>
      <c r="BC6" s="272">
        <v>350</v>
      </c>
      <c r="BD6" s="2">
        <f>GP_Owned_CashRent!AB17</f>
        <v>0</v>
      </c>
      <c r="BE6" s="271">
        <f>AG6*MAX(AW6,GP_Owned_CashRent!T$15)</f>
        <v>764.92227979274605</v>
      </c>
      <c r="BF6" s="96">
        <f>AH6*MAX(AX6,GP_Owned_CashRent!U$15)</f>
        <v>444.20357751277686</v>
      </c>
      <c r="BG6" s="96">
        <f>AI6*MAX(AY6,GP_Owned_CashRent!V$15)</f>
        <v>901.56489028213161</v>
      </c>
      <c r="BH6" s="96">
        <f>AJ6*MAX(AZ6,GP_Owned_CashRent!W$15)</f>
        <v>901.56489028213161</v>
      </c>
      <c r="BI6" s="96">
        <f>AK6*MAX(BA6,GP_Owned_CashRent!X$15)</f>
        <v>346.72902564102571</v>
      </c>
      <c r="BJ6" s="96">
        <f>AL6*MAX(BB6,GP_Owned_CashRent!Y$15)</f>
        <v>230.85</v>
      </c>
      <c r="BK6" s="96">
        <f>AM6*MAX(BC6,GP_Owned_CashRent!Z$15)</f>
        <v>875</v>
      </c>
      <c r="BL6" s="2" t="e">
        <v>#REF!</v>
      </c>
      <c r="BM6" s="163">
        <v>4.55</v>
      </c>
      <c r="BN6" s="163">
        <v>10.9</v>
      </c>
      <c r="BO6" s="163">
        <v>4.95</v>
      </c>
      <c r="BP6" s="163">
        <v>5.95</v>
      </c>
      <c r="BQ6" s="163">
        <v>3.9983999999999993</v>
      </c>
      <c r="BR6" s="163">
        <v>5.26</v>
      </c>
      <c r="BS6" s="22">
        <v>435</v>
      </c>
      <c r="BT6" s="134"/>
      <c r="BU6" t="s">
        <v>35</v>
      </c>
      <c r="BV6" s="135">
        <v>6.71</v>
      </c>
      <c r="BW6" s="135">
        <v>6.3</v>
      </c>
      <c r="BX6" s="135">
        <v>6.3</v>
      </c>
      <c r="BY6" s="135">
        <v>6.3</v>
      </c>
      <c r="BZ6" s="135">
        <v>6.53</v>
      </c>
      <c r="CA6" s="135">
        <v>6.59</v>
      </c>
      <c r="CB6" s="135">
        <f>GP_Owned_CashRent!$D$3</f>
        <v>0</v>
      </c>
      <c r="CC6" s="135">
        <f t="shared" si="2"/>
        <v>0</v>
      </c>
      <c r="CD6" s="135">
        <f t="shared" si="2"/>
        <v>0</v>
      </c>
      <c r="CE6" s="135">
        <f t="shared" si="2"/>
        <v>0</v>
      </c>
      <c r="CF6" s="135">
        <f t="shared" si="2"/>
        <v>0</v>
      </c>
      <c r="CG6" s="262">
        <f t="shared" si="2"/>
        <v>0</v>
      </c>
    </row>
    <row r="7" spans="1:85" x14ac:dyDescent="0.25">
      <c r="A7" s="242" t="s">
        <v>126</v>
      </c>
      <c r="B7" s="176"/>
      <c r="C7" s="29"/>
      <c r="D7" s="29"/>
      <c r="E7" s="29"/>
      <c r="F7" s="29"/>
      <c r="G7" s="29"/>
      <c r="H7" s="171"/>
      <c r="I7" s="171"/>
      <c r="J7" s="342"/>
      <c r="K7" s="336">
        <f>GP_Owned_CashRent!AW10</f>
        <v>5.3</v>
      </c>
      <c r="L7" s="270">
        <f>GP_Owned_CashRent!AX10</f>
        <v>12.16666666666667</v>
      </c>
      <c r="M7" s="270">
        <f>GP_Owned_CashRent!AY10</f>
        <v>6.3750000000000009</v>
      </c>
      <c r="N7" s="270">
        <f>GP_Owned_CashRent!AZ10</f>
        <v>7.1233333333333348</v>
      </c>
      <c r="O7" s="270">
        <f>GP_Owned_CashRent!BA10</f>
        <v>5.0885333333333342</v>
      </c>
      <c r="P7" s="270">
        <f>GP_Owned_CashRent!BB10</f>
        <v>6.5800000000000018</v>
      </c>
      <c r="Q7" s="270">
        <f>GP_Owned_CashRent!BC10</f>
        <v>350</v>
      </c>
      <c r="R7" s="191"/>
      <c r="S7" s="343"/>
      <c r="T7" s="258" t="s">
        <v>86</v>
      </c>
      <c r="U7" s="258" t="s">
        <v>86</v>
      </c>
      <c r="V7" s="258" t="s">
        <v>86</v>
      </c>
      <c r="W7" s="258"/>
      <c r="X7" s="258" t="s">
        <v>86</v>
      </c>
      <c r="Y7" s="258" t="s">
        <v>86</v>
      </c>
      <c r="Z7" s="258"/>
      <c r="AA7" s="258"/>
      <c r="AB7" s="41"/>
      <c r="AC7" s="178"/>
      <c r="AD7" s="134"/>
      <c r="AE7" s="246"/>
      <c r="AF7" s="244">
        <v>2009</v>
      </c>
      <c r="AG7" s="245">
        <v>142.10772833723652</v>
      </c>
      <c r="AH7" s="243">
        <v>37.475633528265107</v>
      </c>
      <c r="AI7" s="243">
        <v>148.43386243386243</v>
      </c>
      <c r="AJ7" s="243">
        <v>148.43386243386243</v>
      </c>
      <c r="AK7" s="243">
        <v>74.948717948717942</v>
      </c>
      <c r="AL7" s="243">
        <v>39.906976744186046</v>
      </c>
      <c r="AM7" s="360">
        <v>2.5</v>
      </c>
      <c r="AN7" s="41"/>
      <c r="AO7" s="245">
        <v>142.10772833723652</v>
      </c>
      <c r="AP7" s="243">
        <v>37.475633528265107</v>
      </c>
      <c r="AQ7" s="243">
        <v>148.43386243386243</v>
      </c>
      <c r="AR7" s="243">
        <v>148.43386243386243</v>
      </c>
      <c r="AS7" s="243">
        <v>74.948717948717942</v>
      </c>
      <c r="AT7" s="243">
        <v>39.906976744186046</v>
      </c>
      <c r="AU7" s="360">
        <v>2.5</v>
      </c>
      <c r="AV7" s="2">
        <f>GP_Owned_CashRent!S18</f>
        <v>0</v>
      </c>
      <c r="AW7" s="272">
        <f>MAX(AW25,GP_Owned_CashRent!K$15)</f>
        <v>3.7</v>
      </c>
      <c r="AX7" s="272">
        <f>MAX(AX25,GP_Owned_CashRent!L$15)</f>
        <v>9.59</v>
      </c>
      <c r="AY7" s="272">
        <f>MAX(AY25,GP_Owned_CashRent!M$15)</f>
        <v>6.3000000000000007</v>
      </c>
      <c r="AZ7" s="272">
        <f>MAX(AZ25,GP_Owned_CashRent!N$15)</f>
        <v>6.81</v>
      </c>
      <c r="BA7" s="272">
        <f>MAX(BA25,GP_Owned_CashRent!O$15)</f>
        <v>3.95</v>
      </c>
      <c r="BB7" s="272">
        <f>MAX(BB25,GP_Owned_CashRent!P$15)</f>
        <v>5.5</v>
      </c>
      <c r="BC7" s="272">
        <v>350</v>
      </c>
      <c r="BD7" s="2">
        <f>GP_Owned_CashRent!AB18</f>
        <v>0</v>
      </c>
      <c r="BE7" s="271">
        <f>AG7*MAX(AW7,GP_Owned_CashRent!T$15)</f>
        <v>525.79859484777512</v>
      </c>
      <c r="BF7" s="96">
        <f>AH7*MAX(AX7,GP_Owned_CashRent!U$15)</f>
        <v>359.39132553606237</v>
      </c>
      <c r="BG7" s="96">
        <f>AI7*MAX(AY7,GP_Owned_CashRent!V$15)</f>
        <v>935.13333333333344</v>
      </c>
      <c r="BH7" s="96">
        <f>AJ7*MAX(AZ7,GP_Owned_CashRent!W$15)</f>
        <v>1010.8346031746031</v>
      </c>
      <c r="BI7" s="96">
        <f>AK7*MAX(BA7,GP_Owned_CashRent!X$15)</f>
        <v>296.04743589743589</v>
      </c>
      <c r="BJ7" s="96">
        <f>AL7*MAX(BB7,GP_Owned_CashRent!Y$15)</f>
        <v>219.48837209302326</v>
      </c>
      <c r="BK7" s="96">
        <f>AM7*MAX(BC7,GP_Owned_CashRent!Z$15)</f>
        <v>875</v>
      </c>
      <c r="BL7" s="2" t="e">
        <v>#REF!</v>
      </c>
      <c r="BM7" s="163">
        <v>3.79</v>
      </c>
      <c r="BN7" s="163">
        <v>9.66</v>
      </c>
      <c r="BO7" s="163">
        <v>5.8049999999999997</v>
      </c>
      <c r="BP7" s="163">
        <v>6.81</v>
      </c>
      <c r="BQ7" s="163">
        <v>3.2311999999999999</v>
      </c>
      <c r="BR7" s="163">
        <v>4.8600000000000003</v>
      </c>
      <c r="BS7" s="22">
        <v>435</v>
      </c>
      <c r="BT7" s="134"/>
      <c r="BU7" t="s">
        <v>37</v>
      </c>
      <c r="BV7" s="135">
        <v>3.95</v>
      </c>
      <c r="BW7" s="135">
        <v>3.95</v>
      </c>
      <c r="BX7" s="135">
        <v>5.0199999999999996</v>
      </c>
      <c r="BY7" s="135">
        <v>5.99</v>
      </c>
      <c r="BZ7" s="135">
        <v>6.33</v>
      </c>
      <c r="CA7" s="135">
        <v>4.26</v>
      </c>
      <c r="CB7" s="135">
        <f>GP_Owned_CashRent!$F$3</f>
        <v>0</v>
      </c>
      <c r="CC7" s="135">
        <f t="shared" si="2"/>
        <v>0</v>
      </c>
      <c r="CD7" s="135">
        <f t="shared" si="2"/>
        <v>0</v>
      </c>
      <c r="CE7" s="135">
        <f t="shared" si="2"/>
        <v>0</v>
      </c>
      <c r="CF7" s="135">
        <f t="shared" si="2"/>
        <v>0</v>
      </c>
      <c r="CG7" s="262">
        <f t="shared" si="2"/>
        <v>0</v>
      </c>
    </row>
    <row r="8" spans="1:85" ht="15.75" thickBot="1" x14ac:dyDescent="0.3">
      <c r="A8" s="242" t="s">
        <v>125</v>
      </c>
      <c r="B8" s="261">
        <f t="shared" ref="B8:H8" si="3">AG16</f>
        <v>135.07697404530228</v>
      </c>
      <c r="C8" s="261">
        <f t="shared" si="3"/>
        <v>37.25774418664362</v>
      </c>
      <c r="D8" s="261">
        <f t="shared" si="3"/>
        <v>134.94447017203873</v>
      </c>
      <c r="E8" s="261">
        <f t="shared" si="3"/>
        <v>134.94447017203873</v>
      </c>
      <c r="F8" s="261">
        <f t="shared" si="3"/>
        <v>67.205697134940849</v>
      </c>
      <c r="G8" s="261">
        <f t="shared" si="3"/>
        <v>40.726394192005948</v>
      </c>
      <c r="H8" s="365">
        <f t="shared" si="3"/>
        <v>2.25</v>
      </c>
      <c r="I8" s="259"/>
      <c r="J8" s="29"/>
      <c r="K8" s="337" t="s">
        <v>86</v>
      </c>
      <c r="L8" s="182" t="s">
        <v>86</v>
      </c>
      <c r="M8" s="182" t="s">
        <v>86</v>
      </c>
      <c r="N8" s="182" t="s">
        <v>86</v>
      </c>
      <c r="O8" s="182" t="s">
        <v>86</v>
      </c>
      <c r="P8" s="182" t="s">
        <v>86</v>
      </c>
      <c r="Q8" s="258"/>
      <c r="R8" s="258"/>
      <c r="S8" s="2"/>
      <c r="T8" s="337" t="s">
        <v>86</v>
      </c>
      <c r="U8" s="182" t="s">
        <v>86</v>
      </c>
      <c r="V8" s="182" t="s">
        <v>86</v>
      </c>
      <c r="W8" s="182"/>
      <c r="X8" s="182" t="s">
        <v>86</v>
      </c>
      <c r="Y8" s="182" t="s">
        <v>86</v>
      </c>
      <c r="Z8" s="258"/>
      <c r="AA8" s="258"/>
      <c r="AB8" s="136"/>
      <c r="AC8" s="257">
        <v>750</v>
      </c>
      <c r="AD8" s="134"/>
      <c r="AE8" s="269"/>
      <c r="AF8" s="268">
        <v>2008</v>
      </c>
      <c r="AG8" s="267">
        <v>152.86697247706422</v>
      </c>
      <c r="AH8" s="266">
        <v>40.524193548387096</v>
      </c>
      <c r="AI8" s="266">
        <v>146.98803418803419</v>
      </c>
      <c r="AJ8" s="266">
        <v>146.98803418803419</v>
      </c>
      <c r="AK8" s="266">
        <v>82.276422764227647</v>
      </c>
      <c r="AL8" s="266">
        <v>52.205607476635514</v>
      </c>
      <c r="AM8" s="364">
        <v>2.5</v>
      </c>
      <c r="AN8" s="41"/>
      <c r="AO8" s="267">
        <v>152.86697247706422</v>
      </c>
      <c r="AP8" s="266">
        <v>40.524193548387096</v>
      </c>
      <c r="AQ8" s="266">
        <v>146.98803418803419</v>
      </c>
      <c r="AR8" s="266">
        <v>146.98803418803419</v>
      </c>
      <c r="AS8" s="266">
        <v>82.276422764227647</v>
      </c>
      <c r="AT8" s="266">
        <v>52.205607476635514</v>
      </c>
      <c r="AU8" s="361">
        <v>2.5</v>
      </c>
      <c r="AV8" s="234">
        <f>GP_Owned_CashRent!S20</f>
        <v>0</v>
      </c>
      <c r="AW8" s="265">
        <f>MAX(AW26,GP_Owned_CashRent!K$15)</f>
        <v>4.0599999999999996</v>
      </c>
      <c r="AX8" s="265">
        <f>MAX(AX26,GP_Owned_CashRent!L$15)</f>
        <v>9.9700000000000006</v>
      </c>
      <c r="AY8" s="265">
        <f>MAX(AY26,GP_Owned_CashRent!M$15)</f>
        <v>6.7050000000000001</v>
      </c>
      <c r="AZ8" s="265">
        <f>MAX(AZ26,GP_Owned_CashRent!N$15)</f>
        <v>7.71</v>
      </c>
      <c r="BA8" s="265">
        <f>MAX(BA26,GP_Owned_CashRent!O$15)</f>
        <v>3.95</v>
      </c>
      <c r="BB8" s="265">
        <f>MAX(BB26,GP_Owned_CashRent!P$15)</f>
        <v>6.78</v>
      </c>
      <c r="BC8" s="265">
        <v>350</v>
      </c>
      <c r="BD8" s="234">
        <f>GP_Owned_CashRent!AB20</f>
        <v>0</v>
      </c>
      <c r="BE8" s="264"/>
      <c r="BF8" s="97"/>
      <c r="BG8" s="97"/>
      <c r="BH8" s="97"/>
      <c r="BI8" s="97"/>
      <c r="BJ8" s="97"/>
      <c r="BK8" s="97"/>
      <c r="BL8" s="234" t="e">
        <v>#REF!</v>
      </c>
      <c r="BM8" s="353">
        <v>4.42</v>
      </c>
      <c r="BN8" s="263">
        <v>9.64</v>
      </c>
      <c r="BO8" s="263">
        <v>6.7050000000000001</v>
      </c>
      <c r="BP8" s="263">
        <v>7.71</v>
      </c>
      <c r="BQ8" s="263">
        <v>3.8807999999999998</v>
      </c>
      <c r="BR8" s="263">
        <v>5.88</v>
      </c>
      <c r="BS8" s="354">
        <v>435</v>
      </c>
      <c r="BT8" s="134"/>
      <c r="BU8" t="s">
        <v>38</v>
      </c>
      <c r="BV8" s="135">
        <v>6.78</v>
      </c>
      <c r="BW8" s="135">
        <v>5.5</v>
      </c>
      <c r="BX8" s="135">
        <v>5.7</v>
      </c>
      <c r="BY8" s="135">
        <v>7.24</v>
      </c>
      <c r="BZ8" s="135">
        <v>7.77</v>
      </c>
      <c r="CA8" s="135">
        <v>6.8</v>
      </c>
      <c r="CB8" s="135">
        <f>GP_Owned_CashRent!$G$3</f>
        <v>0</v>
      </c>
      <c r="CC8" s="135">
        <f t="shared" si="2"/>
        <v>0</v>
      </c>
      <c r="CD8" s="135">
        <f t="shared" si="2"/>
        <v>0</v>
      </c>
      <c r="CE8" s="135">
        <f t="shared" si="2"/>
        <v>0</v>
      </c>
      <c r="CF8" s="135">
        <f t="shared" si="2"/>
        <v>0</v>
      </c>
      <c r="CG8" s="262">
        <f t="shared" si="2"/>
        <v>0</v>
      </c>
    </row>
    <row r="9" spans="1:85" ht="15.75" thickBot="1" x14ac:dyDescent="0.3">
      <c r="A9" s="242" t="s">
        <v>124</v>
      </c>
      <c r="B9" s="255">
        <v>300</v>
      </c>
      <c r="C9" s="254">
        <v>300</v>
      </c>
      <c r="D9" s="254">
        <v>0</v>
      </c>
      <c r="E9" s="254">
        <v>0</v>
      </c>
      <c r="F9" s="254">
        <v>0</v>
      </c>
      <c r="G9" s="254">
        <v>0</v>
      </c>
      <c r="H9" s="254">
        <v>0</v>
      </c>
      <c r="I9" s="356">
        <f>SUM(B9:H9)</f>
        <v>600</v>
      </c>
      <c r="J9" s="29"/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82">
        <f>SUM(K9:Q9)</f>
        <v>0</v>
      </c>
      <c r="S9" s="2"/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82">
        <f>SUM(T9:Z9)</f>
        <v>0</v>
      </c>
      <c r="AB9" s="136"/>
      <c r="AC9" s="253">
        <v>0</v>
      </c>
      <c r="AD9" s="134"/>
      <c r="AE9" s="306"/>
      <c r="AF9" s="307"/>
      <c r="AG9" s="308"/>
      <c r="AH9" s="307"/>
      <c r="AI9" s="307"/>
      <c r="AJ9" s="307"/>
      <c r="AK9" s="307"/>
      <c r="AL9" s="307"/>
      <c r="AM9" s="307"/>
      <c r="AN9" s="41"/>
      <c r="AO9" s="307"/>
      <c r="AP9" s="307"/>
      <c r="AQ9" s="307"/>
      <c r="AR9" s="307"/>
      <c r="AS9" s="307"/>
      <c r="AT9" s="307"/>
      <c r="AU9" s="307"/>
      <c r="AV9" s="234">
        <f>GP_Owned_CashRent!S26</f>
        <v>0</v>
      </c>
      <c r="AW9" s="307"/>
      <c r="AX9" s="307"/>
      <c r="AY9" s="307"/>
      <c r="AZ9" s="307"/>
      <c r="BA9" s="307"/>
      <c r="BB9" s="307"/>
      <c r="BC9" s="307"/>
      <c r="BD9" s="234">
        <f>GP_Owned_CashRent!AB26</f>
        <v>0</v>
      </c>
      <c r="BE9" s="315"/>
      <c r="BF9" s="315"/>
      <c r="BG9" s="315"/>
      <c r="BH9" s="315"/>
      <c r="BI9" s="315"/>
      <c r="BJ9" s="315"/>
      <c r="BK9" s="315"/>
      <c r="BL9" s="234" t="e">
        <v>#REF!</v>
      </c>
      <c r="BM9" s="15"/>
      <c r="BN9" s="15"/>
      <c r="BO9" s="15"/>
      <c r="BP9" s="15"/>
      <c r="BQ9" s="15"/>
      <c r="BR9" s="15"/>
      <c r="BS9" s="15"/>
      <c r="BT9" s="134"/>
      <c r="BU9" s="167" t="s">
        <v>34</v>
      </c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56"/>
    </row>
    <row r="10" spans="1:85" ht="16.5" thickBot="1" x14ac:dyDescent="0.3">
      <c r="A10" s="242" t="s">
        <v>121</v>
      </c>
      <c r="B10" s="252">
        <v>1</v>
      </c>
      <c r="C10" s="251">
        <v>1</v>
      </c>
      <c r="D10" s="251">
        <v>1</v>
      </c>
      <c r="E10" s="251">
        <v>1</v>
      </c>
      <c r="F10" s="251">
        <v>1</v>
      </c>
      <c r="G10" s="251">
        <v>1</v>
      </c>
      <c r="H10" s="251">
        <v>1</v>
      </c>
      <c r="I10" s="327"/>
      <c r="J10" s="343"/>
      <c r="K10" s="39">
        <f t="shared" ref="K10:Q10" si="4">B10</f>
        <v>1</v>
      </c>
      <c r="L10" s="23">
        <f t="shared" si="4"/>
        <v>1</v>
      </c>
      <c r="M10" s="23">
        <f t="shared" si="4"/>
        <v>1</v>
      </c>
      <c r="N10" s="23">
        <f t="shared" si="4"/>
        <v>1</v>
      </c>
      <c r="O10" s="23">
        <f t="shared" si="4"/>
        <v>1</v>
      </c>
      <c r="P10" s="23">
        <f t="shared" si="4"/>
        <v>1</v>
      </c>
      <c r="Q10" s="23">
        <f t="shared" si="4"/>
        <v>1</v>
      </c>
      <c r="R10" s="229"/>
      <c r="S10" s="343"/>
      <c r="T10" s="348"/>
      <c r="U10" s="249"/>
      <c r="V10" s="249"/>
      <c r="W10" s="249"/>
      <c r="X10" s="249"/>
      <c r="Y10" s="249"/>
      <c r="Z10" s="349"/>
      <c r="AA10" s="248"/>
      <c r="AB10" s="136"/>
      <c r="AC10" s="247">
        <v>1</v>
      </c>
      <c r="AD10" s="134"/>
      <c r="AE10" s="306" t="s">
        <v>123</v>
      </c>
      <c r="AF10" s="309" t="s">
        <v>122</v>
      </c>
      <c r="AG10" s="310"/>
      <c r="AH10" s="311"/>
      <c r="AI10" s="312"/>
      <c r="AJ10" s="312"/>
      <c r="AK10" s="312"/>
      <c r="AL10" s="311"/>
      <c r="AM10" s="311"/>
      <c r="AN10" s="41"/>
      <c r="AO10" s="311">
        <f t="shared" ref="AO10:AU10" si="5">(SUM(AO3:AO7)-MIN(AO3:AO7)-MAX(AO3:AO7))/3</f>
        <v>154.91830190408828</v>
      </c>
      <c r="AP10" s="311">
        <f t="shared" si="5"/>
        <v>42.499199676241183</v>
      </c>
      <c r="AQ10" s="311">
        <f t="shared" si="5"/>
        <v>153.199309542572</v>
      </c>
      <c r="AR10" s="311">
        <f t="shared" si="5"/>
        <v>153.199309542572</v>
      </c>
      <c r="AS10" s="311">
        <f t="shared" si="5"/>
        <v>75.211338621410562</v>
      </c>
      <c r="AT10" s="311">
        <f t="shared" si="5"/>
        <v>44.715053763440864</v>
      </c>
      <c r="AU10" s="362">
        <f t="shared" si="5"/>
        <v>2.5</v>
      </c>
      <c r="AV10" s="234">
        <f>GP_Owned_CashRent!S27</f>
        <v>0</v>
      </c>
      <c r="AW10" s="314">
        <f t="shared" ref="AW10:BC10" si="6">(SUM(AW3:AW7)-MIN(AW3:AW7)-MAX(AW3:AW7))/3</f>
        <v>5.3</v>
      </c>
      <c r="AX10" s="314">
        <f t="shared" si="6"/>
        <v>12.16666666666667</v>
      </c>
      <c r="AY10" s="314">
        <f t="shared" si="6"/>
        <v>6.3750000000000009</v>
      </c>
      <c r="AZ10" s="314">
        <f t="shared" si="6"/>
        <v>7.1233333333333348</v>
      </c>
      <c r="BA10" s="314">
        <f t="shared" si="6"/>
        <v>5.0885333333333342</v>
      </c>
      <c r="BB10" s="314">
        <f t="shared" si="6"/>
        <v>6.5800000000000018</v>
      </c>
      <c r="BC10" s="314">
        <f t="shared" si="6"/>
        <v>350</v>
      </c>
      <c r="BD10" s="234">
        <f>GP_Owned_CashRent!AB27</f>
        <v>0</v>
      </c>
      <c r="BE10" s="315">
        <f t="shared" ref="BE10:BJ10" si="7">(SUM(BE3:BE7)-MIN(BE3:BE7)-MAX(BE3:BE7))/3</f>
        <v>808.26888412859591</v>
      </c>
      <c r="BF10" s="315">
        <f t="shared" si="7"/>
        <v>518.59397800696377</v>
      </c>
      <c r="BG10" s="315">
        <f t="shared" si="7"/>
        <v>977.58586288416097</v>
      </c>
      <c r="BH10" s="315">
        <f t="shared" si="7"/>
        <v>1093.7286912079255</v>
      </c>
      <c r="BI10" s="315">
        <f t="shared" si="7"/>
        <v>386.52794159845325</v>
      </c>
      <c r="BJ10" s="315">
        <f t="shared" si="7"/>
        <v>310.89698924731186</v>
      </c>
      <c r="BK10" s="315">
        <f t="shared" ref="BK10" si="8">(SUM(BK3:BK7)-MIN(BK3:BK7)-MAX(BK3:BK7))/3</f>
        <v>875</v>
      </c>
      <c r="BL10" s="234" t="e">
        <v>#REF!</v>
      </c>
      <c r="BM10" s="22"/>
      <c r="BN10" s="22"/>
      <c r="BO10" s="22"/>
      <c r="BP10" s="22"/>
      <c r="BQ10" s="22"/>
      <c r="BR10" s="22"/>
      <c r="BS10" s="22"/>
      <c r="BT10" s="134"/>
      <c r="BU10" s="208" t="s">
        <v>100</v>
      </c>
      <c r="BV10" s="206"/>
      <c r="BW10" s="206"/>
      <c r="BX10" s="206"/>
      <c r="BY10" s="206"/>
      <c r="BZ10" s="206"/>
      <c r="CA10" s="206"/>
      <c r="CB10" s="207"/>
      <c r="CC10" s="206"/>
      <c r="CD10" s="206"/>
      <c r="CE10" s="206"/>
      <c r="CF10" s="206"/>
      <c r="CG10" s="206"/>
    </row>
    <row r="11" spans="1:85" ht="15.75" thickBot="1" x14ac:dyDescent="0.3">
      <c r="A11" s="242" t="s">
        <v>120</v>
      </c>
      <c r="B11" s="328"/>
      <c r="C11" s="329"/>
      <c r="D11" s="329"/>
      <c r="E11" s="329"/>
      <c r="F11" s="329"/>
      <c r="G11" s="329"/>
      <c r="H11" s="330"/>
      <c r="I11" s="330"/>
      <c r="J11" s="29"/>
      <c r="K11" s="331"/>
      <c r="L11" s="332"/>
      <c r="M11" s="332"/>
      <c r="N11" s="332"/>
      <c r="O11" s="332"/>
      <c r="P11" s="332"/>
      <c r="Q11" s="333"/>
      <c r="R11" s="333"/>
      <c r="S11" s="2"/>
      <c r="T11" s="42">
        <v>1</v>
      </c>
      <c r="U11" s="42">
        <v>1</v>
      </c>
      <c r="V11" s="42"/>
      <c r="W11" s="42"/>
      <c r="X11" s="42"/>
      <c r="Y11" s="42"/>
      <c r="Z11" s="42"/>
      <c r="AA11" s="7">
        <f>SUM(T11:Z11)</f>
        <v>2</v>
      </c>
      <c r="AB11" s="41"/>
      <c r="AC11" s="241">
        <v>1</v>
      </c>
      <c r="AD11" s="134"/>
      <c r="AE11" s="306" t="s">
        <v>119</v>
      </c>
      <c r="AF11" s="309" t="s">
        <v>118</v>
      </c>
      <c r="AG11" s="313">
        <f t="shared" ref="AG11:AM11" si="9">AVERAGE(AG4:AG8)</f>
        <v>150.08552671700252</v>
      </c>
      <c r="AH11" s="311">
        <f t="shared" si="9"/>
        <v>41.397493540715132</v>
      </c>
      <c r="AI11" s="311">
        <f t="shared" si="9"/>
        <v>149.93830019115416</v>
      </c>
      <c r="AJ11" s="311">
        <f t="shared" si="9"/>
        <v>149.93830019115416</v>
      </c>
      <c r="AK11" s="311">
        <f t="shared" si="9"/>
        <v>74.672996816600943</v>
      </c>
      <c r="AL11" s="311">
        <f t="shared" si="9"/>
        <v>45.251549102228829</v>
      </c>
      <c r="AM11" s="362">
        <f t="shared" si="9"/>
        <v>2.5</v>
      </c>
      <c r="AN11" s="41"/>
      <c r="AO11" s="312"/>
      <c r="AP11" s="311"/>
      <c r="AQ11" s="312"/>
      <c r="AR11" s="312"/>
      <c r="AS11" s="312"/>
      <c r="AT11" s="311"/>
      <c r="AU11" s="311"/>
      <c r="AV11" s="234" t="e">
        <v>#REF!</v>
      </c>
      <c r="AW11" s="307"/>
      <c r="AX11" s="307"/>
      <c r="AY11" s="307"/>
      <c r="AZ11" s="307"/>
      <c r="BA11" s="307"/>
      <c r="BB11" s="307"/>
      <c r="BC11" s="307"/>
      <c r="BD11" s="2" t="e">
        <v>#REF!</v>
      </c>
      <c r="BE11" s="315"/>
      <c r="BF11" s="315"/>
      <c r="BG11" s="315"/>
      <c r="BH11" s="315"/>
      <c r="BI11" s="315"/>
      <c r="BJ11" s="315"/>
      <c r="BK11" s="315"/>
      <c r="BL11" s="234" t="e">
        <v>#REF!</v>
      </c>
      <c r="BM11" s="15"/>
      <c r="BN11" s="15"/>
      <c r="BO11" s="15"/>
      <c r="BP11" s="15"/>
      <c r="BQ11" s="15"/>
      <c r="BR11" s="15"/>
      <c r="BS11" s="15"/>
      <c r="BT11" s="134"/>
      <c r="BU11" t="s">
        <v>33</v>
      </c>
      <c r="BV11" s="175">
        <v>152.9</v>
      </c>
      <c r="BW11" s="175">
        <v>142.1</v>
      </c>
      <c r="BX11" s="175">
        <v>147.69999999999999</v>
      </c>
      <c r="BY11" s="175">
        <v>132.80000000000001</v>
      </c>
      <c r="BZ11" s="175">
        <v>175</v>
      </c>
      <c r="CA11" s="175">
        <v>185.3</v>
      </c>
      <c r="CB11" s="175">
        <f>GP_Owned_CashRent!$K$5</f>
        <v>0</v>
      </c>
      <c r="CC11" s="175">
        <f t="shared" ref="CC11:CG15" si="10">CB11*CC$34</f>
        <v>0</v>
      </c>
      <c r="CD11" s="175">
        <f t="shared" si="10"/>
        <v>0</v>
      </c>
      <c r="CE11" s="175">
        <f t="shared" si="10"/>
        <v>0</v>
      </c>
      <c r="CF11" s="175">
        <f t="shared" si="10"/>
        <v>0</v>
      </c>
      <c r="CG11" s="225">
        <f t="shared" si="10"/>
        <v>0</v>
      </c>
    </row>
    <row r="12" spans="1:85" ht="15.75" thickBot="1" x14ac:dyDescent="0.3">
      <c r="A12" s="228" t="s">
        <v>115</v>
      </c>
      <c r="B12" s="230">
        <f t="shared" ref="B12:H12" si="11">B13*B8*(B9*0.85)*B10</f>
        <v>60278.099667716153</v>
      </c>
      <c r="C12" s="230">
        <f t="shared" si="11"/>
        <v>32302.46420982002</v>
      </c>
      <c r="D12" s="230">
        <f t="shared" si="11"/>
        <v>0</v>
      </c>
      <c r="E12" s="230">
        <f t="shared" si="11"/>
        <v>0</v>
      </c>
      <c r="F12" s="230">
        <f t="shared" si="11"/>
        <v>0</v>
      </c>
      <c r="G12" s="230">
        <f t="shared" si="11"/>
        <v>0</v>
      </c>
      <c r="H12" s="230">
        <f t="shared" si="11"/>
        <v>0</v>
      </c>
      <c r="I12" s="230">
        <f>SUM(B12:H12)</f>
        <v>92580.563877536173</v>
      </c>
      <c r="J12" s="3"/>
      <c r="K12" s="230">
        <f t="shared" ref="K12:Q12" si="12">K13*(K9*0.85)*K10</f>
        <v>0</v>
      </c>
      <c r="L12" s="230">
        <f t="shared" si="12"/>
        <v>0</v>
      </c>
      <c r="M12" s="230">
        <f t="shared" si="12"/>
        <v>0</v>
      </c>
      <c r="N12" s="230">
        <f t="shared" si="12"/>
        <v>0</v>
      </c>
      <c r="O12" s="230">
        <f t="shared" si="12"/>
        <v>0</v>
      </c>
      <c r="P12" s="230">
        <f t="shared" si="12"/>
        <v>0</v>
      </c>
      <c r="Q12" s="230">
        <f t="shared" si="12"/>
        <v>0</v>
      </c>
      <c r="R12" s="230">
        <f>SUM(K12:Q12)</f>
        <v>0</v>
      </c>
      <c r="S12" s="2"/>
      <c r="T12" s="230">
        <f>T13*(SUM($T9:$Z9)*0.65)</f>
        <v>0</v>
      </c>
      <c r="U12" s="230">
        <f t="shared" ref="U12:Z12" si="13">U13*(SUM($T9:$Z9)*0.65)</f>
        <v>0</v>
      </c>
      <c r="V12" s="230">
        <f t="shared" si="13"/>
        <v>0</v>
      </c>
      <c r="W12" s="230">
        <f t="shared" si="13"/>
        <v>0</v>
      </c>
      <c r="X12" s="230">
        <f t="shared" si="13"/>
        <v>0</v>
      </c>
      <c r="Y12" s="230">
        <f t="shared" si="13"/>
        <v>0</v>
      </c>
      <c r="Z12" s="230">
        <f t="shared" si="13"/>
        <v>0</v>
      </c>
      <c r="AA12" s="230">
        <f>MAX(T12:Z12)</f>
        <v>0</v>
      </c>
      <c r="AB12" s="41"/>
      <c r="AC12" s="226" t="s">
        <v>86</v>
      </c>
      <c r="AD12" s="134"/>
      <c r="AE12" s="240" t="s">
        <v>119</v>
      </c>
      <c r="AF12" s="239" t="s">
        <v>118</v>
      </c>
      <c r="AG12" s="238" t="s">
        <v>117</v>
      </c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355"/>
      <c r="AV12" s="2"/>
      <c r="AW12" s="237">
        <f t="shared" ref="AW12:BC12" si="14">AVERAGE(AW4:AW8)</f>
        <v>5.2099999999999991</v>
      </c>
      <c r="AX12" s="233">
        <f t="shared" si="14"/>
        <v>11.552000000000001</v>
      </c>
      <c r="AY12" s="233">
        <f t="shared" si="14"/>
        <v>6.4260000000000002</v>
      </c>
      <c r="AZ12" s="233">
        <f t="shared" si="14"/>
        <v>7.0759999999999987</v>
      </c>
      <c r="BA12" s="233">
        <f t="shared" si="14"/>
        <v>5.0475200000000005</v>
      </c>
      <c r="BB12" s="233">
        <f t="shared" si="14"/>
        <v>6.5980000000000008</v>
      </c>
      <c r="BC12" s="233">
        <f t="shared" si="14"/>
        <v>350</v>
      </c>
      <c r="BD12" s="150"/>
      <c r="BE12" s="235"/>
      <c r="BF12" s="235"/>
      <c r="BG12" s="235"/>
      <c r="BH12" s="235"/>
      <c r="BI12" s="235"/>
      <c r="BJ12" s="235"/>
      <c r="BK12" s="235"/>
      <c r="BL12" s="234"/>
      <c r="BM12" s="233">
        <f t="shared" ref="BM12:BS12" si="15">AVERAGE(BM4:BM8)</f>
        <v>5.1679999999999993</v>
      </c>
      <c r="BN12" s="233">
        <f t="shared" si="15"/>
        <v>11.36</v>
      </c>
      <c r="BO12" s="233">
        <f t="shared" si="15"/>
        <v>6.0030000000000001</v>
      </c>
      <c r="BP12" s="233">
        <f t="shared" si="15"/>
        <v>7.0060000000000002</v>
      </c>
      <c r="BQ12" s="233">
        <f t="shared" si="15"/>
        <v>4.6076800000000002</v>
      </c>
      <c r="BR12" s="233">
        <f t="shared" si="15"/>
        <v>6.0059999999999993</v>
      </c>
      <c r="BS12" s="233">
        <f t="shared" si="15"/>
        <v>435</v>
      </c>
      <c r="BT12" s="134"/>
      <c r="BU12" t="s">
        <v>36</v>
      </c>
      <c r="BV12" s="175">
        <v>40.5</v>
      </c>
      <c r="BW12" s="175">
        <v>37.5</v>
      </c>
      <c r="BX12" s="175">
        <v>39.299999999999997</v>
      </c>
      <c r="BY12" s="175">
        <v>42</v>
      </c>
      <c r="BZ12" s="175">
        <v>47.7</v>
      </c>
      <c r="CA12" s="175">
        <v>46.2</v>
      </c>
      <c r="CB12" s="175">
        <f>GP_Owned_CashRent!$L$5</f>
        <v>0</v>
      </c>
      <c r="CC12" s="175">
        <f t="shared" si="10"/>
        <v>0</v>
      </c>
      <c r="CD12" s="175">
        <f t="shared" si="10"/>
        <v>0</v>
      </c>
      <c r="CE12" s="175">
        <f t="shared" si="10"/>
        <v>0</v>
      </c>
      <c r="CF12" s="175">
        <f t="shared" si="10"/>
        <v>0</v>
      </c>
      <c r="CG12" s="225">
        <f t="shared" si="10"/>
        <v>0</v>
      </c>
    </row>
    <row r="13" spans="1:85" x14ac:dyDescent="0.25">
      <c r="A13" s="202" t="s">
        <v>111</v>
      </c>
      <c r="B13" s="205">
        <f t="shared" ref="B13:H13" si="16">IF(B3&lt;B15,B15-B16,0)</f>
        <v>1.7500000000000002</v>
      </c>
      <c r="C13" s="205">
        <f t="shared" si="16"/>
        <v>3.4000000000000004</v>
      </c>
      <c r="D13" s="205">
        <f t="shared" si="16"/>
        <v>3.3750000000000004</v>
      </c>
      <c r="E13" s="205">
        <f t="shared" si="16"/>
        <v>3.3750000000000004</v>
      </c>
      <c r="F13" s="205">
        <f t="shared" si="16"/>
        <v>2</v>
      </c>
      <c r="G13" s="205">
        <f t="shared" si="16"/>
        <v>2.56</v>
      </c>
      <c r="H13" s="205">
        <f t="shared" si="16"/>
        <v>100</v>
      </c>
      <c r="I13" s="191"/>
      <c r="J13" s="5"/>
      <c r="K13" s="205">
        <f t="shared" ref="K13:P13" si="17">IF(K20&lt;K17,MIN(K17-K20,K18*0.1),0)</f>
        <v>82.106700009166786</v>
      </c>
      <c r="L13" s="205">
        <f t="shared" si="17"/>
        <v>51.707359606093455</v>
      </c>
      <c r="M13" s="205">
        <f t="shared" si="17"/>
        <v>97.66455983338966</v>
      </c>
      <c r="N13" s="205">
        <f t="shared" si="17"/>
        <v>109.12897483082548</v>
      </c>
      <c r="O13" s="205">
        <f t="shared" si="17"/>
        <v>38.271540361966849</v>
      </c>
      <c r="P13" s="205">
        <f t="shared" si="17"/>
        <v>29.422505376344095</v>
      </c>
      <c r="Q13" s="205">
        <f t="shared" ref="Q13" si="18">IF(Q20&lt;Q17,MIN(Q17-Q20,Q18*0.1),0)</f>
        <v>0</v>
      </c>
      <c r="R13" s="191"/>
      <c r="S13" s="2"/>
      <c r="T13" s="205">
        <f t="shared" ref="T13:Y13" si="19">IF(T20&lt;T17,MIN(T17-T20,T18*0.1),0)</f>
        <v>66.343143106777987</v>
      </c>
      <c r="U13" s="205">
        <f t="shared" si="19"/>
        <v>66.343143106777987</v>
      </c>
      <c r="V13" s="205">
        <f t="shared" si="19"/>
        <v>0</v>
      </c>
      <c r="W13" s="205">
        <f t="shared" si="19"/>
        <v>0</v>
      </c>
      <c r="X13" s="205">
        <f t="shared" si="19"/>
        <v>0</v>
      </c>
      <c r="Y13" s="205">
        <f t="shared" si="19"/>
        <v>0</v>
      </c>
      <c r="Z13" s="205">
        <f t="shared" ref="Z13" si="20">IF(Z20&lt;Z17,MIN(Z17-Z20,Z18*0.1),0)</f>
        <v>0</v>
      </c>
      <c r="AA13" s="191"/>
      <c r="AB13" s="41"/>
      <c r="AC13" s="214"/>
      <c r="AD13" s="134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231"/>
      <c r="AW13" s="224" t="str">
        <f>IF(AW21&lt;GP_Owned_CashRent!K$15,"Plug","OK")</f>
        <v>OK</v>
      </c>
      <c r="AX13" s="224" t="str">
        <f>IF(AX21&lt;GP_Owned_CashRent!L$15,"Plug","OK")</f>
        <v>OK</v>
      </c>
      <c r="AY13" s="224" t="str">
        <f>IF(AY21&lt;GP_Owned_CashRent!M$15,"Plug","OK")</f>
        <v>OK</v>
      </c>
      <c r="AZ13" s="224" t="str">
        <f>IF(AZ21&lt;GP_Owned_CashRent!N$15,"Plug","OK")</f>
        <v>OK</v>
      </c>
      <c r="BA13" s="224" t="str">
        <f>IF(BA21&lt;GP_Owned_CashRent!O$15,"Plug","OK")</f>
        <v>OK</v>
      </c>
      <c r="BB13" s="224" t="str">
        <f>IF(BB21&lt;GP_Owned_CashRent!P$15,"Plug","OK")</f>
        <v>OK</v>
      </c>
      <c r="BC13" s="224" t="str">
        <f>IF(BC21&lt;GP_Owned_CashRent!Q$15,"Plug","OK")</f>
        <v>OK</v>
      </c>
      <c r="BD13" s="150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34"/>
      <c r="BU13" t="s">
        <v>35</v>
      </c>
      <c r="BV13" s="175">
        <v>147</v>
      </c>
      <c r="BW13" s="175">
        <v>148.4</v>
      </c>
      <c r="BX13" s="175">
        <v>143.1</v>
      </c>
      <c r="BY13" s="175">
        <v>145.4</v>
      </c>
      <c r="BZ13" s="175">
        <v>165.7</v>
      </c>
      <c r="CA13" s="175">
        <v>167.1</v>
      </c>
      <c r="CB13" s="175">
        <f>GP_Owned_CashRent!$M$5</f>
        <v>0</v>
      </c>
      <c r="CC13" s="175">
        <f t="shared" si="10"/>
        <v>0</v>
      </c>
      <c r="CD13" s="175">
        <f t="shared" si="10"/>
        <v>0</v>
      </c>
      <c r="CE13" s="175">
        <f t="shared" si="10"/>
        <v>0</v>
      </c>
      <c r="CF13" s="175">
        <f t="shared" si="10"/>
        <v>0</v>
      </c>
      <c r="CG13" s="225">
        <f t="shared" si="10"/>
        <v>0</v>
      </c>
    </row>
    <row r="14" spans="1:85" x14ac:dyDescent="0.25">
      <c r="A14" s="202" t="s">
        <v>109</v>
      </c>
      <c r="B14" s="191"/>
      <c r="C14" s="191"/>
      <c r="D14" s="191"/>
      <c r="E14" s="191"/>
      <c r="F14" s="191"/>
      <c r="G14" s="191"/>
      <c r="H14" s="191"/>
      <c r="I14" s="191"/>
      <c r="J14" s="5"/>
      <c r="K14" s="205">
        <f t="shared" ref="K14:P14" si="21">0.1*K18</f>
        <v>82.106700009166786</v>
      </c>
      <c r="L14" s="205">
        <f t="shared" si="21"/>
        <v>51.707359606093455</v>
      </c>
      <c r="M14" s="205">
        <f t="shared" si="21"/>
        <v>97.66455983338966</v>
      </c>
      <c r="N14" s="205">
        <f t="shared" si="21"/>
        <v>109.12897483082548</v>
      </c>
      <c r="O14" s="205">
        <f t="shared" si="21"/>
        <v>38.271540361966849</v>
      </c>
      <c r="P14" s="205">
        <f t="shared" si="21"/>
        <v>29.422505376344095</v>
      </c>
      <c r="Q14" s="205">
        <f t="shared" ref="Q14" si="22">0.1*Q18</f>
        <v>87.5</v>
      </c>
      <c r="R14" s="191"/>
      <c r="S14" s="2"/>
      <c r="T14" s="205">
        <f t="shared" ref="T14:Y14" si="23">0.1*T18</f>
        <v>66.343143106777987</v>
      </c>
      <c r="U14" s="205">
        <f t="shared" si="23"/>
        <v>66.343143106777987</v>
      </c>
      <c r="V14" s="205">
        <f t="shared" si="23"/>
        <v>0</v>
      </c>
      <c r="W14" s="205">
        <f t="shared" si="23"/>
        <v>0</v>
      </c>
      <c r="X14" s="205">
        <f t="shared" si="23"/>
        <v>0</v>
      </c>
      <c r="Y14" s="205">
        <f t="shared" si="23"/>
        <v>0</v>
      </c>
      <c r="Z14" s="205">
        <f t="shared" ref="Z14" si="24">0.1*Z18</f>
        <v>0</v>
      </c>
      <c r="AA14" s="191"/>
      <c r="AB14" s="41"/>
      <c r="AC14" s="214"/>
      <c r="AD14" s="134"/>
      <c r="AE14" s="307"/>
      <c r="AF14" s="307"/>
      <c r="AG14" s="307" t="s">
        <v>114</v>
      </c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67"/>
      <c r="AW14" s="224" t="str">
        <f>IF(AW22&lt;GP_Owned_CashRent!K$15,"Plug","OK")</f>
        <v>OK</v>
      </c>
      <c r="AX14" s="224" t="str">
        <f>IF(AX22&lt;GP_Owned_CashRent!L$15,"Plug","OK")</f>
        <v>OK</v>
      </c>
      <c r="AY14" s="224" t="str">
        <f>IF(AY22&lt;GP_Owned_CashRent!M$15,"Plug","OK")</f>
        <v>OK</v>
      </c>
      <c r="AZ14" s="224" t="str">
        <f>IF(AZ22&lt;GP_Owned_CashRent!N$15,"Plug","OK")</f>
        <v>OK</v>
      </c>
      <c r="BA14" s="224" t="str">
        <f>IF(BA22&lt;GP_Owned_CashRent!O$15,"Plug","OK")</f>
        <v>OK</v>
      </c>
      <c r="BB14" s="224" t="str">
        <f>IF(BB22&lt;GP_Owned_CashRent!P$15,"Plug","OK")</f>
        <v>OK</v>
      </c>
      <c r="BC14" s="224" t="str">
        <f>IF(BC22&lt;GP_Owned_CashRent!Q$15,"Plug","OK")</f>
        <v>OK</v>
      </c>
      <c r="BD14" s="142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34"/>
      <c r="BU14" t="s">
        <v>37</v>
      </c>
      <c r="BV14" s="175">
        <v>82.3</v>
      </c>
      <c r="BW14" s="175">
        <v>74.900000000000006</v>
      </c>
      <c r="BX14" s="175">
        <v>69.099999999999994</v>
      </c>
      <c r="BY14" s="175">
        <v>65.5</v>
      </c>
      <c r="BZ14" s="175">
        <v>81.599999999999994</v>
      </c>
      <c r="CA14" s="175">
        <v>98.8</v>
      </c>
      <c r="CB14" s="175">
        <f>GP_Owned_CashRent!$O$5</f>
        <v>0</v>
      </c>
      <c r="CC14" s="175">
        <f t="shared" si="10"/>
        <v>0</v>
      </c>
      <c r="CD14" s="175">
        <f t="shared" si="10"/>
        <v>0</v>
      </c>
      <c r="CE14" s="175">
        <f t="shared" si="10"/>
        <v>0</v>
      </c>
      <c r="CF14" s="175">
        <f t="shared" si="10"/>
        <v>0</v>
      </c>
      <c r="CG14" s="225">
        <f t="shared" si="10"/>
        <v>0</v>
      </c>
    </row>
    <row r="15" spans="1:85" x14ac:dyDescent="0.25">
      <c r="A15" s="202" t="s">
        <v>108</v>
      </c>
      <c r="B15" s="201">
        <v>3.7</v>
      </c>
      <c r="C15" s="201">
        <v>8.4</v>
      </c>
      <c r="D15" s="201">
        <f>(14/100)*45</f>
        <v>6.3000000000000007</v>
      </c>
      <c r="E15" s="201">
        <f>(14/100)*45</f>
        <v>6.3000000000000007</v>
      </c>
      <c r="F15" s="201">
        <v>3.95</v>
      </c>
      <c r="G15" s="201">
        <v>5.5</v>
      </c>
      <c r="H15" s="201">
        <v>535</v>
      </c>
      <c r="I15" s="191"/>
      <c r="J15" s="5"/>
      <c r="K15" s="201">
        <v>3.7</v>
      </c>
      <c r="L15" s="201">
        <v>8.4</v>
      </c>
      <c r="M15" s="201">
        <f>(14/100)*45</f>
        <v>6.3000000000000007</v>
      </c>
      <c r="N15" s="201">
        <f>(14/100)*45</f>
        <v>6.3000000000000007</v>
      </c>
      <c r="O15" s="201">
        <v>3.95</v>
      </c>
      <c r="P15" s="201">
        <v>5.5</v>
      </c>
      <c r="Q15" s="201">
        <v>325</v>
      </c>
      <c r="R15" s="191"/>
      <c r="S15" s="2"/>
      <c r="T15" s="201">
        <v>3.7</v>
      </c>
      <c r="U15" s="201">
        <v>8.4</v>
      </c>
      <c r="V15" s="201">
        <f>(14/100)*45</f>
        <v>6.3000000000000007</v>
      </c>
      <c r="W15" s="201">
        <f>(14/100)*45</f>
        <v>6.3000000000000007</v>
      </c>
      <c r="X15" s="201">
        <v>3.95</v>
      </c>
      <c r="Y15" s="201">
        <v>5.5</v>
      </c>
      <c r="Z15" s="201">
        <v>325</v>
      </c>
      <c r="AA15" s="191"/>
      <c r="AB15" s="41"/>
      <c r="AC15" s="214"/>
      <c r="AD15" s="134"/>
      <c r="AE15" s="307"/>
      <c r="AF15" s="307"/>
      <c r="AG15" s="307" t="s">
        <v>112</v>
      </c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67"/>
      <c r="AW15" s="224" t="str">
        <f>IF(AW23&lt;GP_Owned_CashRent!K$15,"Plug","OK")</f>
        <v>OK</v>
      </c>
      <c r="AX15" s="224" t="str">
        <f>IF(AX23&lt;GP_Owned_CashRent!L$15,"Plug","OK")</f>
        <v>OK</v>
      </c>
      <c r="AY15" s="224" t="str">
        <f>IF(AY23&lt;GP_Owned_CashRent!M$15,"Plug","OK")</f>
        <v>Plug</v>
      </c>
      <c r="AZ15" s="224" t="str">
        <f>IF(AZ23&lt;GP_Owned_CashRent!N$15,"Plug","OK")</f>
        <v>OK</v>
      </c>
      <c r="BA15" s="224" t="str">
        <f>IF(BA23&lt;GP_Owned_CashRent!O$15,"Plug","OK")</f>
        <v>OK</v>
      </c>
      <c r="BB15" s="224" t="str">
        <f>IF(BB23&lt;GP_Owned_CashRent!P$15,"Plug","OK")</f>
        <v>OK</v>
      </c>
      <c r="BC15" s="224" t="str">
        <f>IF(BC23&lt;GP_Owned_CashRent!Q$15,"Plug","OK")</f>
        <v>OK</v>
      </c>
      <c r="BD15" s="142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34"/>
      <c r="BU15" t="s">
        <v>38</v>
      </c>
      <c r="BV15" s="175">
        <v>52.2</v>
      </c>
      <c r="BW15" s="175">
        <v>39.9</v>
      </c>
      <c r="BX15" s="175">
        <v>40.5</v>
      </c>
      <c r="BY15" s="175">
        <v>48.6</v>
      </c>
      <c r="BZ15" s="175">
        <v>45</v>
      </c>
      <c r="CA15" s="175">
        <v>56.1</v>
      </c>
      <c r="CB15" s="175">
        <f>GP_Owned_CashRent!$P$5</f>
        <v>0</v>
      </c>
      <c r="CC15" s="175">
        <f t="shared" si="10"/>
        <v>0</v>
      </c>
      <c r="CD15" s="175">
        <f t="shared" si="10"/>
        <v>0</v>
      </c>
      <c r="CE15" s="175">
        <f t="shared" si="10"/>
        <v>0</v>
      </c>
      <c r="CF15" s="175">
        <f t="shared" si="10"/>
        <v>0</v>
      </c>
      <c r="CG15" s="225">
        <f t="shared" si="10"/>
        <v>0</v>
      </c>
    </row>
    <row r="16" spans="1:85" x14ac:dyDescent="0.25">
      <c r="A16" s="202" t="s">
        <v>106</v>
      </c>
      <c r="B16" s="205">
        <f t="shared" ref="B16:H16" si="25">MAX(B3,B26)</f>
        <v>1.95</v>
      </c>
      <c r="C16" s="205">
        <f t="shared" si="25"/>
        <v>5</v>
      </c>
      <c r="D16" s="205">
        <f t="shared" si="25"/>
        <v>2.9250000000000003</v>
      </c>
      <c r="E16" s="205">
        <f t="shared" si="25"/>
        <v>2.9250000000000003</v>
      </c>
      <c r="F16" s="205">
        <f t="shared" si="25"/>
        <v>1.95</v>
      </c>
      <c r="G16" s="205">
        <f t="shared" si="25"/>
        <v>2.94</v>
      </c>
      <c r="H16" s="205">
        <f t="shared" si="25"/>
        <v>435</v>
      </c>
      <c r="I16" s="191"/>
      <c r="J16" s="5"/>
      <c r="K16" s="191"/>
      <c r="L16" s="191"/>
      <c r="M16" s="191"/>
      <c r="N16" s="191"/>
      <c r="O16" s="191"/>
      <c r="P16" s="216"/>
      <c r="Q16" s="191"/>
      <c r="R16" s="191"/>
      <c r="S16" s="2"/>
      <c r="T16" s="191"/>
      <c r="U16" s="191"/>
      <c r="V16" s="191"/>
      <c r="W16" s="191"/>
      <c r="X16" s="191"/>
      <c r="Y16" s="191"/>
      <c r="Z16" s="191"/>
      <c r="AA16" s="191"/>
      <c r="AB16" s="41"/>
      <c r="AC16" s="214"/>
      <c r="AD16" s="134"/>
      <c r="AE16" s="307"/>
      <c r="AF16" s="307"/>
      <c r="AG16" s="260">
        <f t="shared" ref="AG16:AM16" si="26">AG11*0.9</f>
        <v>135.07697404530228</v>
      </c>
      <c r="AH16" s="260">
        <f t="shared" si="26"/>
        <v>37.25774418664362</v>
      </c>
      <c r="AI16" s="260">
        <f t="shared" si="26"/>
        <v>134.94447017203873</v>
      </c>
      <c r="AJ16" s="260">
        <f t="shared" si="26"/>
        <v>134.94447017203873</v>
      </c>
      <c r="AK16" s="260">
        <f t="shared" si="26"/>
        <v>67.205697134940849</v>
      </c>
      <c r="AL16" s="260">
        <f t="shared" si="26"/>
        <v>40.726394192005948</v>
      </c>
      <c r="AM16" s="363">
        <f t="shared" si="26"/>
        <v>2.25</v>
      </c>
      <c r="AN16" s="307"/>
      <c r="AO16" s="307"/>
      <c r="AP16" s="307"/>
      <c r="AQ16" s="307"/>
      <c r="AR16" s="307"/>
      <c r="AS16" s="307"/>
      <c r="AT16" s="307"/>
      <c r="AU16" s="307"/>
      <c r="AV16" s="67"/>
      <c r="AW16" s="224" t="str">
        <f>IF(AW24&lt;GP_Owned_CashRent!K$15,"Plug","OK")</f>
        <v>OK</v>
      </c>
      <c r="AX16" s="224" t="str">
        <f>IF(AX24&lt;GP_Owned_CashRent!L$15,"Plug","OK")</f>
        <v>OK</v>
      </c>
      <c r="AY16" s="224" t="str">
        <f>IF(AY24&lt;GP_Owned_CashRent!M$15,"Plug","OK")</f>
        <v>Plug</v>
      </c>
      <c r="AZ16" s="224" t="str">
        <f>IF(AZ24&lt;GP_Owned_CashRent!N$15,"Plug","OK")</f>
        <v>Plug</v>
      </c>
      <c r="BA16" s="224" t="str">
        <f>IF(BA24&lt;GP_Owned_CashRent!O$15,"Plug","OK")</f>
        <v>OK</v>
      </c>
      <c r="BB16" s="224" t="str">
        <f>IF(BB24&lt;GP_Owned_CashRent!P$15,"Plug","OK")</f>
        <v>OK</v>
      </c>
      <c r="BC16" s="224" t="str">
        <f>IF(BC24&lt;GP_Owned_CashRent!Q$15,"Plug","OK")</f>
        <v>OK</v>
      </c>
      <c r="BD16" s="142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34"/>
      <c r="BU16" t="s">
        <v>34</v>
      </c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225"/>
    </row>
    <row r="17" spans="1:85" x14ac:dyDescent="0.25">
      <c r="A17" s="202" t="s">
        <v>105</v>
      </c>
      <c r="B17" s="191"/>
      <c r="C17" s="191"/>
      <c r="D17" s="191"/>
      <c r="E17" s="191"/>
      <c r="F17" s="191"/>
      <c r="G17" s="216"/>
      <c r="H17" s="191"/>
      <c r="I17" s="191"/>
      <c r="J17" s="5"/>
      <c r="K17" s="215">
        <f t="shared" ref="K17:Q17" si="27">K18*0.86</f>
        <v>706.11762007883431</v>
      </c>
      <c r="L17" s="215">
        <f t="shared" si="27"/>
        <v>444.68329261240365</v>
      </c>
      <c r="M17" s="215">
        <f t="shared" si="27"/>
        <v>839.91521456715111</v>
      </c>
      <c r="N17" s="215">
        <f t="shared" si="27"/>
        <v>938.50918354509906</v>
      </c>
      <c r="O17" s="215">
        <f t="shared" si="27"/>
        <v>329.13524711291484</v>
      </c>
      <c r="P17" s="215">
        <f t="shared" si="27"/>
        <v>253.0335462365592</v>
      </c>
      <c r="Q17" s="215">
        <f t="shared" si="27"/>
        <v>752.5</v>
      </c>
      <c r="R17" s="137"/>
      <c r="S17" s="2"/>
      <c r="T17" s="215">
        <f t="shared" ref="T17:Z17" si="28">IF(T11&gt;0,T18*0.86,0)</f>
        <v>570.55103071829069</v>
      </c>
      <c r="U17" s="215">
        <f t="shared" si="28"/>
        <v>570.55103071829069</v>
      </c>
      <c r="V17" s="215">
        <f t="shared" si="28"/>
        <v>0</v>
      </c>
      <c r="W17" s="215">
        <f t="shared" si="28"/>
        <v>0</v>
      </c>
      <c r="X17" s="215">
        <f t="shared" si="28"/>
        <v>0</v>
      </c>
      <c r="Y17" s="215">
        <f t="shared" si="28"/>
        <v>0</v>
      </c>
      <c r="Z17" s="215">
        <f t="shared" si="28"/>
        <v>0</v>
      </c>
      <c r="AA17" s="137"/>
      <c r="AB17" s="41"/>
      <c r="AC17" s="214"/>
      <c r="AD17" s="134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67"/>
      <c r="AW17" s="224" t="str">
        <f>IF(AW25&lt;GP_Owned_CashRent!K$15,"Plug","OK")</f>
        <v>Plug</v>
      </c>
      <c r="AX17" s="224" t="str">
        <f>IF(AX25&lt;GP_Owned_CashRent!L$15,"Plug","OK")</f>
        <v>OK</v>
      </c>
      <c r="AY17" s="224" t="str">
        <f>IF(AY25&lt;GP_Owned_CashRent!M$15,"Plug","OK")</f>
        <v>Plug</v>
      </c>
      <c r="AZ17" s="224" t="str">
        <f>IF(AZ25&lt;GP_Owned_CashRent!N$15,"Plug","OK")</f>
        <v>OK</v>
      </c>
      <c r="BA17" s="224" t="str">
        <f>IF(BA25&lt;GP_Owned_CashRent!O$15,"Plug","OK")</f>
        <v>Plug</v>
      </c>
      <c r="BB17" s="224" t="str">
        <f>IF(BB25&lt;GP_Owned_CashRent!P$15,"Plug","OK")</f>
        <v>Plug</v>
      </c>
      <c r="BC17" s="224" t="str">
        <f>IF(BC25&lt;GP_Owned_CashRent!Q$15,"Plug","OK")</f>
        <v>OK</v>
      </c>
      <c r="BD17" s="142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34"/>
      <c r="BU17" s="223" t="s">
        <v>110</v>
      </c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</row>
    <row r="18" spans="1:85" x14ac:dyDescent="0.25">
      <c r="A18" s="202" t="s">
        <v>104</v>
      </c>
      <c r="B18" s="191"/>
      <c r="C18" s="191"/>
      <c r="D18" s="191"/>
      <c r="E18" s="191"/>
      <c r="F18" s="191"/>
      <c r="G18" s="216"/>
      <c r="H18" s="191"/>
      <c r="I18" s="191"/>
      <c r="J18" s="5"/>
      <c r="K18" s="215">
        <f t="shared" ref="K18:P18" si="29">K6*(MAX(K7,K15))</f>
        <v>821.06700009166786</v>
      </c>
      <c r="L18" s="215">
        <f t="shared" si="29"/>
        <v>517.07359606093451</v>
      </c>
      <c r="M18" s="215">
        <f t="shared" si="29"/>
        <v>976.6455983338966</v>
      </c>
      <c r="N18" s="215">
        <f t="shared" si="29"/>
        <v>1091.2897483082547</v>
      </c>
      <c r="O18" s="215">
        <f t="shared" si="29"/>
        <v>382.71540361966845</v>
      </c>
      <c r="P18" s="215">
        <f t="shared" si="29"/>
        <v>294.22505376344094</v>
      </c>
      <c r="Q18" s="215">
        <f t="shared" ref="Q18" si="30">Q6*(MAX(Q7,Q15))</f>
        <v>875</v>
      </c>
      <c r="R18" s="137"/>
      <c r="S18" s="2"/>
      <c r="T18" s="215">
        <f>IF(T11&gt;0,SUM($T19:$Z19),0)</f>
        <v>663.43143106777984</v>
      </c>
      <c r="U18" s="215">
        <f t="shared" ref="U18:Z18" si="31">IF(U11&gt;0,SUM($T19:$Z19),0)</f>
        <v>663.43143106777984</v>
      </c>
      <c r="V18" s="215">
        <f t="shared" si="31"/>
        <v>0</v>
      </c>
      <c r="W18" s="215">
        <f t="shared" si="31"/>
        <v>0</v>
      </c>
      <c r="X18" s="215">
        <f t="shared" si="31"/>
        <v>0</v>
      </c>
      <c r="Y18" s="215">
        <f t="shared" si="31"/>
        <v>0</v>
      </c>
      <c r="Z18" s="215">
        <f t="shared" si="31"/>
        <v>0</v>
      </c>
      <c r="AA18" s="137"/>
      <c r="AB18" s="41"/>
      <c r="AC18" s="214"/>
      <c r="AD18" s="134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67"/>
      <c r="AW18" s="221" t="str">
        <f>IF(AW26&lt;GP_Owned_CashRent!K$15,"Plug","OK")</f>
        <v>OK</v>
      </c>
      <c r="AX18" s="221" t="str">
        <f>IF(AX26&lt;GP_Owned_CashRent!L$15,"Plug","OK")</f>
        <v>OK</v>
      </c>
      <c r="AY18" s="221" t="str">
        <f>IF(AY26&lt;GP_Owned_CashRent!M$15,"Plug","OK")</f>
        <v>OK</v>
      </c>
      <c r="AZ18" s="221" t="str">
        <f>IF(AZ26&lt;GP_Owned_CashRent!N$15,"Plug","OK")</f>
        <v>OK</v>
      </c>
      <c r="BA18" s="221" t="str">
        <f>IF(BA26&lt;GP_Owned_CashRent!O$15,"Plug","OK")</f>
        <v>Plug</v>
      </c>
      <c r="BB18" s="221" t="str">
        <f>IF(BB26&lt;GP_Owned_CashRent!P$15,"Plug","OK")</f>
        <v>OK</v>
      </c>
      <c r="BC18" s="221" t="str">
        <f>IF(BC26&lt;GP_Owned_CashRent!Q$15,"Plug","OK")</f>
        <v>OK</v>
      </c>
      <c r="BD18" s="142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34"/>
      <c r="BU18" s="208" t="s">
        <v>107</v>
      </c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</row>
    <row r="19" spans="1:85" ht="18.75" x14ac:dyDescent="0.3">
      <c r="A19" s="202" t="s">
        <v>103</v>
      </c>
      <c r="B19" s="191"/>
      <c r="C19" s="191"/>
      <c r="D19" s="191"/>
      <c r="E19" s="191"/>
      <c r="F19" s="191"/>
      <c r="G19" s="216"/>
      <c r="H19" s="191"/>
      <c r="I19" s="191"/>
      <c r="J19" s="5"/>
      <c r="K19" s="137"/>
      <c r="L19" s="137"/>
      <c r="M19" s="137"/>
      <c r="N19" s="137"/>
      <c r="O19" s="137"/>
      <c r="P19" s="137"/>
      <c r="Q19" s="137"/>
      <c r="R19" s="137"/>
      <c r="S19" s="2"/>
      <c r="T19" s="215">
        <f>GP_Owned_CashRent!BE10*(GP_Owned_CashRent!T11/SUM(GP_Owned_CashRent!$T11:$Z11))</f>
        <v>404.13444206429796</v>
      </c>
      <c r="U19" s="215">
        <f>GP_Owned_CashRent!BF10*(GP_Owned_CashRent!U11/SUM(GP_Owned_CashRent!$T11:$Z11))</f>
        <v>259.29698900348188</v>
      </c>
      <c r="V19" s="215">
        <f>GP_Owned_CashRent!BG10*(GP_Owned_CashRent!V11/SUM(GP_Owned_CashRent!$T11:$Z11))</f>
        <v>0</v>
      </c>
      <c r="W19" s="215">
        <f>GP_Owned_CashRent!BH10*(GP_Owned_CashRent!W11/SUM(GP_Owned_CashRent!$T11:$Z11))</f>
        <v>0</v>
      </c>
      <c r="X19" s="215">
        <f>GP_Owned_CashRent!BI10*(GP_Owned_CashRent!X11/SUM(GP_Owned_CashRent!$T11:$Z11))</f>
        <v>0</v>
      </c>
      <c r="Y19" s="215">
        <f>GP_Owned_CashRent!BJ10*(GP_Owned_CashRent!Y11/SUM(GP_Owned_CashRent!$T11:$Z11))</f>
        <v>0</v>
      </c>
      <c r="Z19" s="215">
        <f>GP_Owned_CashRent!BK10*(GP_Owned_CashRent!Z11/SUM(GP_Owned_CashRent!$T11:$Z11))</f>
        <v>0</v>
      </c>
      <c r="AA19" s="137"/>
      <c r="AB19" s="41"/>
      <c r="AC19" s="214"/>
      <c r="AD19" s="134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67"/>
      <c r="AW19" s="220" t="s">
        <v>107</v>
      </c>
      <c r="AX19" s="219"/>
      <c r="AY19" s="219"/>
      <c r="AZ19" s="219"/>
      <c r="BA19" s="219"/>
      <c r="BB19" s="219"/>
      <c r="BC19" s="219"/>
      <c r="BD19" s="142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34"/>
      <c r="BU19" t="s">
        <v>33</v>
      </c>
      <c r="BV19" s="135"/>
      <c r="BW19" s="135"/>
      <c r="BX19" s="135"/>
      <c r="BY19" s="135"/>
      <c r="BZ19" s="135"/>
      <c r="CB19" s="135">
        <f t="shared" ref="CB19:CF23" si="32">(SUM(BW4:CA4)-MIN(BW4:CA4)-MAX(BW4:CA4))/3</f>
        <v>5.3</v>
      </c>
      <c r="CC19" s="135">
        <f t="shared" si="32"/>
        <v>5.3</v>
      </c>
      <c r="CD19" s="135">
        <f t="shared" si="32"/>
        <v>3.5733333333333328</v>
      </c>
      <c r="CE19" s="135">
        <f t="shared" si="32"/>
        <v>1.5000000000000002</v>
      </c>
      <c r="CF19" s="135">
        <f t="shared" si="32"/>
        <v>0</v>
      </c>
      <c r="CG19" s="174"/>
    </row>
    <row r="20" spans="1:85" x14ac:dyDescent="0.25">
      <c r="A20" s="202" t="s">
        <v>102</v>
      </c>
      <c r="B20" s="191"/>
      <c r="C20" s="191"/>
      <c r="D20" s="191"/>
      <c r="E20" s="191"/>
      <c r="F20" s="191"/>
      <c r="G20" s="216"/>
      <c r="H20" s="191"/>
      <c r="I20" s="191"/>
      <c r="J20" s="5"/>
      <c r="K20" s="215">
        <f t="shared" ref="K20:P20" si="33">K5*(MAX(K3,K26))</f>
        <v>0</v>
      </c>
      <c r="L20" s="215">
        <f t="shared" si="33"/>
        <v>0</v>
      </c>
      <c r="M20" s="215">
        <f t="shared" si="33"/>
        <v>0</v>
      </c>
      <c r="N20" s="215">
        <f t="shared" si="33"/>
        <v>0</v>
      </c>
      <c r="O20" s="215">
        <f t="shared" si="33"/>
        <v>0</v>
      </c>
      <c r="P20" s="215">
        <f t="shared" si="33"/>
        <v>0</v>
      </c>
      <c r="Q20" s="215">
        <f t="shared" ref="Q20" si="34">Q5*(MAX(Q3,Q26))</f>
        <v>1087.5</v>
      </c>
      <c r="R20" s="137"/>
      <c r="S20" s="2"/>
      <c r="T20" s="215">
        <f>IF(T11&gt;0,SUM($T21:$Z21)/SUM($T11:$Z11),0)</f>
        <v>300.5</v>
      </c>
      <c r="U20" s="215">
        <f t="shared" ref="U20:Z20" si="35">IF(U11&gt;0,SUM($T21:$Z21)/SUM($T11:$Z11),0)</f>
        <v>300.5</v>
      </c>
      <c r="V20" s="215">
        <f t="shared" si="35"/>
        <v>0</v>
      </c>
      <c r="W20" s="215">
        <f t="shared" si="35"/>
        <v>0</v>
      </c>
      <c r="X20" s="215">
        <f t="shared" si="35"/>
        <v>0</v>
      </c>
      <c r="Y20" s="215">
        <f t="shared" si="35"/>
        <v>0</v>
      </c>
      <c r="Z20" s="215">
        <f t="shared" si="35"/>
        <v>0</v>
      </c>
      <c r="AA20" s="137"/>
      <c r="AB20" s="41"/>
      <c r="AC20" s="214"/>
      <c r="AD20" s="134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218" t="s">
        <v>93</v>
      </c>
      <c r="AV20" s="153"/>
      <c r="AW20" s="144" t="s">
        <v>33</v>
      </c>
      <c r="AX20" s="144" t="s">
        <v>36</v>
      </c>
      <c r="AY20" s="144" t="s">
        <v>92</v>
      </c>
      <c r="AZ20" s="144" t="s">
        <v>143</v>
      </c>
      <c r="BA20" s="144" t="s">
        <v>37</v>
      </c>
      <c r="BB20" s="144" t="s">
        <v>38</v>
      </c>
      <c r="BC20" s="172" t="s">
        <v>146</v>
      </c>
      <c r="BD20" s="138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34"/>
      <c r="BU20" t="s">
        <v>36</v>
      </c>
      <c r="BV20" s="135"/>
      <c r="BW20" s="135"/>
      <c r="BX20" s="135"/>
      <c r="BY20" s="135"/>
      <c r="BZ20" s="135"/>
      <c r="CB20" s="135">
        <f t="shared" si="32"/>
        <v>12.166666666666664</v>
      </c>
      <c r="CC20" s="135">
        <f t="shared" si="32"/>
        <v>12.16666666666667</v>
      </c>
      <c r="CD20" s="135">
        <f t="shared" si="32"/>
        <v>8.3999999999999986</v>
      </c>
      <c r="CE20" s="135">
        <f t="shared" si="32"/>
        <v>4.2333333333333334</v>
      </c>
      <c r="CF20" s="135">
        <f t="shared" si="32"/>
        <v>0</v>
      </c>
      <c r="CG20" s="174"/>
    </row>
    <row r="21" spans="1:85" x14ac:dyDescent="0.25">
      <c r="A21" s="199" t="s">
        <v>101</v>
      </c>
      <c r="B21" s="212"/>
      <c r="C21" s="212"/>
      <c r="D21" s="212"/>
      <c r="E21" s="212"/>
      <c r="F21" s="212"/>
      <c r="G21" s="212"/>
      <c r="H21" s="212"/>
      <c r="I21" s="212"/>
      <c r="J21" s="56"/>
      <c r="K21" s="211"/>
      <c r="L21" s="211"/>
      <c r="M21" s="211"/>
      <c r="N21" s="211"/>
      <c r="O21" s="211"/>
      <c r="P21" s="211"/>
      <c r="Q21" s="211"/>
      <c r="R21" s="211"/>
      <c r="S21" s="179"/>
      <c r="T21" s="210">
        <f t="shared" ref="T21:Z21" si="36">T4*T11*(MAX(T3,T26))</f>
        <v>351</v>
      </c>
      <c r="U21" s="210">
        <f t="shared" si="36"/>
        <v>250</v>
      </c>
      <c r="V21" s="210">
        <f t="shared" si="36"/>
        <v>0</v>
      </c>
      <c r="W21" s="210">
        <f t="shared" si="36"/>
        <v>0</v>
      </c>
      <c r="X21" s="210">
        <f t="shared" si="36"/>
        <v>0</v>
      </c>
      <c r="Y21" s="210">
        <f t="shared" si="36"/>
        <v>0</v>
      </c>
      <c r="Z21" s="210">
        <f t="shared" si="36"/>
        <v>0</v>
      </c>
      <c r="AA21" s="369"/>
      <c r="AB21" s="161"/>
      <c r="AC21" s="209"/>
      <c r="AD21" s="134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70">
        <v>2013</v>
      </c>
      <c r="AV21" s="169"/>
      <c r="AW21" s="217">
        <v>4.5</v>
      </c>
      <c r="AX21" s="217">
        <v>12.7</v>
      </c>
      <c r="AY21" s="217">
        <v>6.5880000000000001</v>
      </c>
      <c r="AZ21" s="22">
        <v>7.59</v>
      </c>
      <c r="BA21" s="217">
        <v>4.2560000000000002</v>
      </c>
      <c r="BB21" s="217">
        <v>6.8</v>
      </c>
      <c r="BC21" s="22">
        <v>350</v>
      </c>
      <c r="BD21" s="150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34"/>
      <c r="BU21" t="s">
        <v>35</v>
      </c>
      <c r="BV21" s="135"/>
      <c r="BW21" s="135"/>
      <c r="BX21" s="135"/>
      <c r="BY21" s="135"/>
      <c r="BZ21" s="135"/>
      <c r="CB21" s="135">
        <f t="shared" si="32"/>
        <v>6.3766666666666652</v>
      </c>
      <c r="CC21" s="135">
        <f t="shared" si="32"/>
        <v>6.376666666666666</v>
      </c>
      <c r="CD21" s="135">
        <f t="shared" si="32"/>
        <v>4.2766666666666673</v>
      </c>
      <c r="CE21" s="135">
        <f t="shared" si="32"/>
        <v>2.1766666666666672</v>
      </c>
      <c r="CF21" s="135">
        <f t="shared" si="32"/>
        <v>0</v>
      </c>
      <c r="CG21" s="174"/>
    </row>
    <row r="22" spans="1:85" x14ac:dyDescent="0.25">
      <c r="A22" s="228" t="s">
        <v>113</v>
      </c>
      <c r="B22" s="227" t="s">
        <v>86</v>
      </c>
      <c r="C22" s="227" t="s">
        <v>86</v>
      </c>
      <c r="D22" s="227" t="s">
        <v>86</v>
      </c>
      <c r="E22" s="227" t="s">
        <v>86</v>
      </c>
      <c r="F22" s="227" t="s">
        <v>86</v>
      </c>
      <c r="G22" s="227" t="s">
        <v>86</v>
      </c>
      <c r="H22" s="227" t="s">
        <v>86</v>
      </c>
      <c r="I22" s="371" t="s">
        <v>86</v>
      </c>
      <c r="J22" s="344"/>
      <c r="K22" s="227" t="s">
        <v>86</v>
      </c>
      <c r="L22" s="227" t="s">
        <v>86</v>
      </c>
      <c r="M22" s="227" t="s">
        <v>86</v>
      </c>
      <c r="N22" s="227" t="s">
        <v>86</v>
      </c>
      <c r="O22" s="227" t="s">
        <v>86</v>
      </c>
      <c r="P22" s="227" t="s">
        <v>86</v>
      </c>
      <c r="Q22" s="227" t="s">
        <v>86</v>
      </c>
      <c r="R22" s="371" t="s">
        <v>86</v>
      </c>
      <c r="S22" s="2"/>
      <c r="T22" s="227" t="s">
        <v>86</v>
      </c>
      <c r="U22" s="227" t="s">
        <v>86</v>
      </c>
      <c r="V22" s="227" t="s">
        <v>86</v>
      </c>
      <c r="W22" s="227" t="s">
        <v>86</v>
      </c>
      <c r="X22" s="227" t="s">
        <v>86</v>
      </c>
      <c r="Y22" s="227" t="s">
        <v>86</v>
      </c>
      <c r="Z22" s="227" t="s">
        <v>86</v>
      </c>
      <c r="AA22" s="371" t="s">
        <v>86</v>
      </c>
      <c r="AB22" s="41"/>
      <c r="AC22" s="226">
        <f>(0.09*597)*(AC8/597)*(0.6*AC9)*AC10</f>
        <v>0</v>
      </c>
      <c r="AD22" s="134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4">
        <v>2012</v>
      </c>
      <c r="AV22" s="41"/>
      <c r="AW22" s="22">
        <v>6.89</v>
      </c>
      <c r="AX22" s="22">
        <v>14.4</v>
      </c>
      <c r="AY22" s="22">
        <v>6.5249999999999995</v>
      </c>
      <c r="AZ22" s="22">
        <v>7.53</v>
      </c>
      <c r="BA22" s="22">
        <v>6.3280000000000003</v>
      </c>
      <c r="BB22" s="22">
        <v>7.77</v>
      </c>
      <c r="BC22" s="22">
        <v>350</v>
      </c>
      <c r="BD22" s="142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34"/>
      <c r="BU22" t="s">
        <v>37</v>
      </c>
      <c r="BV22" s="135"/>
      <c r="BW22" s="135"/>
      <c r="BX22" s="135"/>
      <c r="BY22" s="135"/>
      <c r="BZ22" s="135"/>
      <c r="CB22" s="135">
        <f t="shared" si="32"/>
        <v>5.089999999999999</v>
      </c>
      <c r="CC22" s="135">
        <f t="shared" si="32"/>
        <v>5.0900000000000007</v>
      </c>
      <c r="CD22" s="135">
        <f t="shared" si="32"/>
        <v>3.4166666666666661</v>
      </c>
      <c r="CE22" s="135">
        <f t="shared" si="32"/>
        <v>1.42</v>
      </c>
      <c r="CF22" s="135">
        <f t="shared" si="32"/>
        <v>0</v>
      </c>
      <c r="CG22" s="174"/>
    </row>
    <row r="23" spans="1:85" x14ac:dyDescent="0.25">
      <c r="A23" s="228" t="s">
        <v>116</v>
      </c>
      <c r="B23" s="230">
        <f t="shared" ref="B23:H23" si="37">B25*B4*B11*B10</f>
        <v>0</v>
      </c>
      <c r="C23" s="230">
        <f t="shared" si="37"/>
        <v>0</v>
      </c>
      <c r="D23" s="230">
        <f t="shared" si="37"/>
        <v>0</v>
      </c>
      <c r="E23" s="230">
        <f t="shared" si="37"/>
        <v>0</v>
      </c>
      <c r="F23" s="230">
        <f t="shared" si="37"/>
        <v>0</v>
      </c>
      <c r="G23" s="230">
        <f t="shared" si="37"/>
        <v>0</v>
      </c>
      <c r="H23" s="230">
        <f t="shared" si="37"/>
        <v>0</v>
      </c>
      <c r="I23" s="230">
        <f>SUM(B23:H23)</f>
        <v>0</v>
      </c>
      <c r="J23" s="3"/>
      <c r="K23" s="230">
        <f t="shared" ref="K23:P23" si="38">K25*K4*K11*K10</f>
        <v>0</v>
      </c>
      <c r="L23" s="230">
        <f t="shared" si="38"/>
        <v>0</v>
      </c>
      <c r="M23" s="230">
        <f t="shared" si="38"/>
        <v>0</v>
      </c>
      <c r="N23" s="230">
        <f t="shared" si="38"/>
        <v>0</v>
      </c>
      <c r="O23" s="230">
        <f t="shared" si="38"/>
        <v>0</v>
      </c>
      <c r="P23" s="230">
        <f t="shared" si="38"/>
        <v>0</v>
      </c>
      <c r="Q23" s="230">
        <f t="shared" ref="Q23" si="39">Q25*Q4*Q11*Q10</f>
        <v>0</v>
      </c>
      <c r="R23" s="230">
        <f>SUM(K23:Q23)</f>
        <v>0</v>
      </c>
      <c r="S23" s="2"/>
      <c r="T23" s="230">
        <f t="shared" ref="T23:Z23" si="40">T25*T4*T11*T10</f>
        <v>0</v>
      </c>
      <c r="U23" s="230">
        <f t="shared" si="40"/>
        <v>0</v>
      </c>
      <c r="V23" s="230">
        <f t="shared" si="40"/>
        <v>0</v>
      </c>
      <c r="W23" s="230">
        <f t="shared" si="40"/>
        <v>0</v>
      </c>
      <c r="X23" s="230">
        <f t="shared" si="40"/>
        <v>0</v>
      </c>
      <c r="Y23" s="230">
        <f t="shared" si="40"/>
        <v>0</v>
      </c>
      <c r="Z23" s="230">
        <f t="shared" si="40"/>
        <v>0</v>
      </c>
      <c r="AA23" s="230">
        <f>SUM(T23:Z23)</f>
        <v>0</v>
      </c>
      <c r="AB23" s="41"/>
      <c r="AC23" s="232">
        <f>AC25*AC4*AC11*AC10</f>
        <v>0</v>
      </c>
      <c r="AD23" s="134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4">
        <v>2011</v>
      </c>
      <c r="AV23" s="41"/>
      <c r="AW23" s="22">
        <v>6.22</v>
      </c>
      <c r="AX23" s="22">
        <v>12.5</v>
      </c>
      <c r="AY23" s="22">
        <v>6.03</v>
      </c>
      <c r="AZ23" s="22">
        <v>7.03</v>
      </c>
      <c r="BA23" s="22">
        <v>5.992</v>
      </c>
      <c r="BB23" s="22">
        <v>7.24</v>
      </c>
      <c r="BC23" s="22">
        <v>350</v>
      </c>
      <c r="BD23" s="142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34"/>
      <c r="BU23" t="s">
        <v>38</v>
      </c>
      <c r="BV23" s="135"/>
      <c r="BW23" s="135"/>
      <c r="BX23" s="135"/>
      <c r="BY23" s="135"/>
      <c r="BZ23" s="135"/>
      <c r="CB23" s="135">
        <f t="shared" si="32"/>
        <v>6.5799999999999992</v>
      </c>
      <c r="CC23" s="135">
        <f t="shared" si="32"/>
        <v>6.580000000000001</v>
      </c>
      <c r="CD23" s="135">
        <f t="shared" si="32"/>
        <v>4.68</v>
      </c>
      <c r="CE23" s="135">
        <f t="shared" si="32"/>
        <v>2.2666666666666671</v>
      </c>
      <c r="CF23" s="135">
        <f t="shared" si="32"/>
        <v>0</v>
      </c>
      <c r="CG23" s="174"/>
    </row>
    <row r="24" spans="1:85" x14ac:dyDescent="0.25">
      <c r="A24" s="242" t="s">
        <v>49</v>
      </c>
      <c r="B24" s="278">
        <f t="shared" ref="B24:H24" si="41">B3+B28</f>
        <v>-4.1999999999999815E-2</v>
      </c>
      <c r="C24" s="278">
        <f t="shared" si="41"/>
        <v>-0.19200000000000195</v>
      </c>
      <c r="D24" s="278">
        <f t="shared" si="41"/>
        <v>-9.7500000000000142E-2</v>
      </c>
      <c r="E24" s="278">
        <f t="shared" si="41"/>
        <v>-9.733333333333416E-2</v>
      </c>
      <c r="F24" s="278">
        <f t="shared" si="41"/>
        <v>-0.43984000000000023</v>
      </c>
      <c r="G24" s="278">
        <f t="shared" si="41"/>
        <v>-0.59200000000000141</v>
      </c>
      <c r="H24" s="278">
        <f t="shared" si="41"/>
        <v>435</v>
      </c>
      <c r="I24" s="366"/>
      <c r="J24" s="345"/>
      <c r="K24" s="278">
        <f t="shared" ref="K24:Q24" si="42">K3+K28</f>
        <v>-4.1999999999999815E-2</v>
      </c>
      <c r="L24" s="278">
        <f t="shared" si="42"/>
        <v>-0.19200000000000195</v>
      </c>
      <c r="M24" s="278">
        <f t="shared" si="42"/>
        <v>-9.7500000000000142E-2</v>
      </c>
      <c r="N24" s="278">
        <f t="shared" si="42"/>
        <v>-9.733333333333416E-2</v>
      </c>
      <c r="O24" s="278">
        <f t="shared" si="42"/>
        <v>-0.43984000000000023</v>
      </c>
      <c r="P24" s="278">
        <f t="shared" si="42"/>
        <v>-0.59200000000000141</v>
      </c>
      <c r="Q24" s="278">
        <f t="shared" si="42"/>
        <v>435</v>
      </c>
      <c r="R24" s="366"/>
      <c r="S24" s="343"/>
      <c r="T24" s="278">
        <f t="shared" ref="T24:Y24" si="43">T3+T28</f>
        <v>-4.1999999999999815E-2</v>
      </c>
      <c r="U24" s="278">
        <f t="shared" si="43"/>
        <v>-0.19200000000000195</v>
      </c>
      <c r="V24" s="278">
        <f t="shared" si="43"/>
        <v>-9.7500000000000142E-2</v>
      </c>
      <c r="W24" s="278">
        <f t="shared" si="43"/>
        <v>-9.733333333333416E-2</v>
      </c>
      <c r="X24" s="278">
        <f t="shared" si="43"/>
        <v>-0.43984000000000023</v>
      </c>
      <c r="Y24" s="278">
        <f t="shared" si="43"/>
        <v>-0.59200000000000141</v>
      </c>
      <c r="Z24" s="278">
        <v>435</v>
      </c>
      <c r="AA24" s="370"/>
      <c r="AB24" s="41"/>
      <c r="AC24" s="277">
        <f>AC3+AC28</f>
        <v>0.66800000000000004</v>
      </c>
      <c r="AD24" s="134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64">
        <v>2010</v>
      </c>
      <c r="AV24" s="41"/>
      <c r="AW24" s="163">
        <v>5.18</v>
      </c>
      <c r="AX24" s="163">
        <v>11.3</v>
      </c>
      <c r="AY24" s="163">
        <v>4.95</v>
      </c>
      <c r="AZ24" s="163">
        <v>5.95</v>
      </c>
      <c r="BA24" s="163">
        <v>5.0176000000000007</v>
      </c>
      <c r="BB24" s="163">
        <v>5.7</v>
      </c>
      <c r="BC24" s="22">
        <v>350</v>
      </c>
      <c r="BD24" s="142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34"/>
      <c r="BU24" s="167" t="s">
        <v>34</v>
      </c>
      <c r="BV24" s="213"/>
      <c r="BW24" s="213"/>
      <c r="BX24" s="213"/>
      <c r="BY24" s="213"/>
      <c r="BZ24" s="213"/>
      <c r="CA24" s="167"/>
      <c r="CB24" s="213"/>
      <c r="CC24" s="213"/>
      <c r="CD24" s="213"/>
      <c r="CE24" s="213"/>
      <c r="CF24" s="213"/>
      <c r="CG24" s="165"/>
    </row>
    <row r="25" spans="1:85" x14ac:dyDescent="0.25">
      <c r="A25" s="202" t="s">
        <v>99</v>
      </c>
      <c r="B25" s="205">
        <f>IF(B24&lt;B26,B26-B24,0)</f>
        <v>1.9919999999999998</v>
      </c>
      <c r="C25" s="205">
        <f>IF(C24&lt;C26,C26-C24,0)</f>
        <v>5.1920000000000019</v>
      </c>
      <c r="D25" s="205">
        <f>IF((D24-D27)&lt;D26,D26-(D24-D27),0)</f>
        <v>3.0225000000000004</v>
      </c>
      <c r="E25" s="205">
        <f>IF((E24-E27)&lt;E26,E26-(E24-E27),0)</f>
        <v>3.0223333333333344</v>
      </c>
      <c r="F25" s="205">
        <f>IF(F24&lt;F26,F26-F24,0)</f>
        <v>2.3898400000000004</v>
      </c>
      <c r="G25" s="205">
        <f>IF(G24&lt;G26,G26-G24,0)</f>
        <v>3.5320000000000014</v>
      </c>
      <c r="H25" s="205">
        <f>IF(H24&lt;H26,H26-H24,0)</f>
        <v>0</v>
      </c>
      <c r="I25" s="191"/>
      <c r="J25" s="5"/>
      <c r="K25" s="205">
        <f>IF(K24&lt;K26,K26-K24,0)</f>
        <v>1.9919999999999998</v>
      </c>
      <c r="L25" s="205">
        <f>IF(L24&lt;L26,L26-L24,0)</f>
        <v>5.1920000000000019</v>
      </c>
      <c r="M25" s="205">
        <f>IF((M24-M27)&lt;M26,M26-(M24-M27),0)</f>
        <v>3.0225000000000004</v>
      </c>
      <c r="N25" s="205">
        <f>IF((N24-N27)&lt;N26,N26-(N24-N27),0)</f>
        <v>3.0223333333333344</v>
      </c>
      <c r="O25" s="205">
        <f>IF(O24&lt;O26,O26-O24,0)</f>
        <v>2.3898400000000004</v>
      </c>
      <c r="P25" s="205">
        <f>IF(P24&lt;P26,P26-P24,0)</f>
        <v>3.5320000000000014</v>
      </c>
      <c r="Q25" s="205">
        <f>IF(Q24&lt;Q26,Q26-Q24,0)</f>
        <v>0</v>
      </c>
      <c r="R25" s="191"/>
      <c r="S25" s="2"/>
      <c r="T25" s="205">
        <f>IF(T24&lt;T26,T26-T24,0)</f>
        <v>1.9919999999999998</v>
      </c>
      <c r="U25" s="205">
        <f>IF(U24&lt;U26,U26-U24,0)</f>
        <v>5.1920000000000019</v>
      </c>
      <c r="V25" s="205">
        <f>IF((V24-V27)&lt;V26,V26-(V24-V27),0)</f>
        <v>3.0225000000000004</v>
      </c>
      <c r="W25" s="205">
        <f>IF((W24-W27)&lt;W26,W26-(W24-W27),0)</f>
        <v>3.0223333333333344</v>
      </c>
      <c r="X25" s="205">
        <f>IF(X24&lt;X26,X26-X24,0)</f>
        <v>2.3898400000000004</v>
      </c>
      <c r="Y25" s="205">
        <f>IF(Y24&lt;Y26,Y26-Y24,0)</f>
        <v>3.5320000000000014</v>
      </c>
      <c r="Z25" s="205"/>
      <c r="AA25" s="191"/>
      <c r="AB25" s="41"/>
      <c r="AC25" s="204">
        <f>IF((AC24-AC27)&lt;AC26,AC26-(AC24-AC27),0)</f>
        <v>0</v>
      </c>
      <c r="AD25" s="134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64">
        <v>2009</v>
      </c>
      <c r="AV25" s="41"/>
      <c r="AW25" s="163">
        <v>3.55</v>
      </c>
      <c r="AX25" s="163">
        <v>9.59</v>
      </c>
      <c r="AY25" s="163">
        <v>5.8049999999999997</v>
      </c>
      <c r="AZ25" s="163">
        <v>6.81</v>
      </c>
      <c r="BA25" s="163">
        <v>3.22</v>
      </c>
      <c r="BB25" s="163">
        <v>4.87</v>
      </c>
      <c r="BC25" s="22">
        <v>350</v>
      </c>
      <c r="BD25" s="142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34"/>
      <c r="BU25" s="208" t="s">
        <v>100</v>
      </c>
      <c r="BV25" s="206"/>
      <c r="BW25" s="206"/>
      <c r="BX25" s="206"/>
      <c r="BY25" s="206"/>
      <c r="BZ25" s="206"/>
      <c r="CA25" s="206"/>
      <c r="CB25" s="207"/>
      <c r="CC25" s="206"/>
      <c r="CD25" s="206"/>
      <c r="CE25" s="206"/>
      <c r="CF25" s="206"/>
      <c r="CG25" s="206"/>
    </row>
    <row r="26" spans="1:85" x14ac:dyDescent="0.25">
      <c r="A26" s="202" t="s">
        <v>98</v>
      </c>
      <c r="B26" s="201">
        <v>1.95</v>
      </c>
      <c r="C26" s="201">
        <v>5</v>
      </c>
      <c r="D26" s="201">
        <f>(6.5/100)*45</f>
        <v>2.9250000000000003</v>
      </c>
      <c r="E26" s="201">
        <f>(6.5/100)*45</f>
        <v>2.9250000000000003</v>
      </c>
      <c r="F26" s="201">
        <v>1.95</v>
      </c>
      <c r="G26" s="201">
        <v>2.94</v>
      </c>
      <c r="H26" s="201">
        <v>355</v>
      </c>
      <c r="I26" s="191"/>
      <c r="J26" s="5"/>
      <c r="K26" s="201">
        <v>1.95</v>
      </c>
      <c r="L26" s="201">
        <v>5</v>
      </c>
      <c r="M26" s="201">
        <f>(6.5/100)*45</f>
        <v>2.9250000000000003</v>
      </c>
      <c r="N26" s="201">
        <f>(6.5/100)*45</f>
        <v>2.9250000000000003</v>
      </c>
      <c r="O26" s="201">
        <v>1.95</v>
      </c>
      <c r="P26" s="201">
        <v>2.94</v>
      </c>
      <c r="Q26" s="201">
        <v>355</v>
      </c>
      <c r="R26" s="191"/>
      <c r="S26" s="142"/>
      <c r="T26" s="201">
        <v>1.95</v>
      </c>
      <c r="U26" s="201">
        <v>5</v>
      </c>
      <c r="V26" s="201">
        <f>(6.5/100)*45</f>
        <v>2.9250000000000003</v>
      </c>
      <c r="W26" s="201">
        <f>(6.5/100)*45</f>
        <v>2.9250000000000003</v>
      </c>
      <c r="X26" s="201">
        <v>1.95</v>
      </c>
      <c r="Y26" s="201">
        <v>2.94</v>
      </c>
      <c r="Z26" s="201">
        <v>355</v>
      </c>
      <c r="AA26" s="191"/>
      <c r="AB26" s="41"/>
      <c r="AC26" s="200">
        <v>0.52</v>
      </c>
      <c r="AD26" s="134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03">
        <v>2008</v>
      </c>
      <c r="AV26" s="161"/>
      <c r="AW26" s="160">
        <v>4.0599999999999996</v>
      </c>
      <c r="AX26" s="160">
        <v>9.9700000000000006</v>
      </c>
      <c r="AY26" s="160">
        <v>6.7050000000000001</v>
      </c>
      <c r="AZ26" s="160">
        <v>7.71</v>
      </c>
      <c r="BA26" s="160">
        <v>3.2031999999999998</v>
      </c>
      <c r="BB26" s="160">
        <v>6.78</v>
      </c>
      <c r="BC26" s="139">
        <v>350</v>
      </c>
      <c r="BD26" s="138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34"/>
      <c r="BU26" t="s">
        <v>33</v>
      </c>
      <c r="BV26" s="135"/>
      <c r="BW26" s="135"/>
      <c r="BX26" s="135"/>
      <c r="BY26" s="135"/>
      <c r="BZ26" s="135"/>
      <c r="CB26" s="175">
        <f t="shared" ref="CB26:CF30" si="44">(SUM(BW11:CA11)-MIN(BW11:CA11)-MAX(BW11:CA11))/3</f>
        <v>154.93333333333331</v>
      </c>
      <c r="CC26" s="175">
        <f t="shared" si="44"/>
        <v>151.83333333333331</v>
      </c>
      <c r="CD26" s="175">
        <f t="shared" si="44"/>
        <v>102.60000000000001</v>
      </c>
      <c r="CE26" s="175">
        <f t="shared" si="44"/>
        <v>58.333333333333336</v>
      </c>
      <c r="CF26" s="175">
        <f t="shared" si="44"/>
        <v>0</v>
      </c>
      <c r="CG26" s="174"/>
    </row>
    <row r="27" spans="1:85" x14ac:dyDescent="0.25">
      <c r="A27" s="199" t="s">
        <v>97</v>
      </c>
      <c r="B27" s="198" t="s">
        <v>86</v>
      </c>
      <c r="C27" s="196" t="s">
        <v>86</v>
      </c>
      <c r="D27" s="197">
        <v>0</v>
      </c>
      <c r="E27" s="197">
        <v>0</v>
      </c>
      <c r="F27" s="196" t="s">
        <v>86</v>
      </c>
      <c r="G27" s="196" t="s">
        <v>86</v>
      </c>
      <c r="H27" s="196" t="s">
        <v>86</v>
      </c>
      <c r="I27" s="367"/>
      <c r="J27" s="182"/>
      <c r="K27" s="198" t="s">
        <v>86</v>
      </c>
      <c r="L27" s="196" t="s">
        <v>86</v>
      </c>
      <c r="M27" s="24">
        <f>D27</f>
        <v>0</v>
      </c>
      <c r="N27" s="24">
        <f>E27</f>
        <v>0</v>
      </c>
      <c r="O27" s="196" t="s">
        <v>86</v>
      </c>
      <c r="P27" s="196" t="s">
        <v>86</v>
      </c>
      <c r="Q27" s="196" t="s">
        <v>86</v>
      </c>
      <c r="R27" s="258"/>
      <c r="S27" s="138"/>
      <c r="T27" s="198" t="s">
        <v>86</v>
      </c>
      <c r="U27" s="196" t="s">
        <v>86</v>
      </c>
      <c r="V27" s="24">
        <f>M27</f>
        <v>0</v>
      </c>
      <c r="W27" s="24">
        <f>N27</f>
        <v>0</v>
      </c>
      <c r="X27" s="196" t="s">
        <v>86</v>
      </c>
      <c r="Y27" s="196" t="s">
        <v>86</v>
      </c>
      <c r="Z27" s="196" t="s">
        <v>86</v>
      </c>
      <c r="AA27" s="182"/>
      <c r="AB27" s="195"/>
      <c r="AC27" s="194">
        <v>0</v>
      </c>
      <c r="AD27" s="134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U27" s="15" t="s">
        <v>148</v>
      </c>
      <c r="AV27" s="141"/>
      <c r="AW27" s="22">
        <f>AVERAGE(AW21:AW26)</f>
        <v>5.0666666666666664</v>
      </c>
      <c r="AX27" s="22">
        <f t="shared" ref="AX27:BC27" si="45">AVERAGE(AX21:AX26)</f>
        <v>11.743333333333334</v>
      </c>
      <c r="AY27" s="22">
        <f t="shared" si="45"/>
        <v>6.1005000000000003</v>
      </c>
      <c r="AZ27" s="22">
        <f t="shared" si="45"/>
        <v>7.1033333333333344</v>
      </c>
      <c r="BA27" s="22">
        <f t="shared" si="45"/>
        <v>4.6694666666666667</v>
      </c>
      <c r="BB27" s="22">
        <f t="shared" si="45"/>
        <v>6.5266666666666673</v>
      </c>
      <c r="BC27" s="22">
        <f t="shared" si="45"/>
        <v>350</v>
      </c>
      <c r="BD27" s="138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34"/>
      <c r="BU27" t="s">
        <v>36</v>
      </c>
      <c r="CB27" s="175">
        <f t="shared" si="44"/>
        <v>42.499999999999993</v>
      </c>
      <c r="CC27" s="175">
        <f t="shared" si="44"/>
        <v>42.499999999999993</v>
      </c>
      <c r="CD27" s="175">
        <f t="shared" si="44"/>
        <v>29.400000000000002</v>
      </c>
      <c r="CE27" s="175">
        <f t="shared" si="44"/>
        <v>15.4</v>
      </c>
      <c r="CF27" s="175">
        <f t="shared" si="44"/>
        <v>0</v>
      </c>
      <c r="CG27" s="174"/>
    </row>
    <row r="28" spans="1:85" ht="18.75" x14ac:dyDescent="0.3">
      <c r="A28" s="187" t="s">
        <v>96</v>
      </c>
      <c r="B28" s="193">
        <f>GP_Owned_CashRent!BM12-GP_Owned_CashRent!AW12</f>
        <v>-4.1999999999999815E-2</v>
      </c>
      <c r="C28" s="192">
        <f>GP_Owned_CashRent!BN12-GP_Owned_CashRent!AX12</f>
        <v>-0.19200000000000195</v>
      </c>
      <c r="D28" s="192">
        <f>GP_Owned_CashRent!BO12-GP_Owned_CashRent!AY27</f>
        <v>-9.7500000000000142E-2</v>
      </c>
      <c r="E28" s="192">
        <f>GP_Owned_CashRent!BP12-GP_Owned_CashRent!AZ27</f>
        <v>-9.733333333333416E-2</v>
      </c>
      <c r="F28" s="192">
        <f>GP_Owned_CashRent!BQ12-GP_Owned_CashRent!BA12</f>
        <v>-0.43984000000000023</v>
      </c>
      <c r="G28" s="192">
        <f>GP_Owned_CashRent!BR12-GP_Owned_CashRent!BB12</f>
        <v>-0.59200000000000141</v>
      </c>
      <c r="H28" s="192">
        <v>0</v>
      </c>
      <c r="I28" s="274"/>
      <c r="J28" s="346"/>
      <c r="K28" s="193">
        <f>B28</f>
        <v>-4.1999999999999815E-2</v>
      </c>
      <c r="L28" s="192">
        <f>C28</f>
        <v>-0.19200000000000195</v>
      </c>
      <c r="M28" s="192">
        <f>D28</f>
        <v>-9.7500000000000142E-2</v>
      </c>
      <c r="N28" s="192">
        <f>E28</f>
        <v>-9.733333333333416E-2</v>
      </c>
      <c r="O28" s="192">
        <f>F28</f>
        <v>-0.43984000000000023</v>
      </c>
      <c r="P28" s="192">
        <f>G28</f>
        <v>-0.59200000000000141</v>
      </c>
      <c r="Q28" s="192">
        <v>0</v>
      </c>
      <c r="R28" s="274"/>
      <c r="S28" s="216"/>
      <c r="T28" s="193">
        <f t="shared" ref="T28:Y28" si="46">B28</f>
        <v>-4.1999999999999815E-2</v>
      </c>
      <c r="U28" s="192">
        <f t="shared" si="46"/>
        <v>-0.19200000000000195</v>
      </c>
      <c r="V28" s="192">
        <f t="shared" si="46"/>
        <v>-9.7500000000000142E-2</v>
      </c>
      <c r="W28" s="192">
        <f t="shared" si="46"/>
        <v>-9.733333333333416E-2</v>
      </c>
      <c r="X28" s="192">
        <f t="shared" si="46"/>
        <v>-0.43984000000000023</v>
      </c>
      <c r="Y28" s="192">
        <f t="shared" si="46"/>
        <v>-0.59200000000000141</v>
      </c>
      <c r="Z28" s="192">
        <v>0</v>
      </c>
      <c r="AA28" s="341"/>
      <c r="AB28" s="191"/>
      <c r="AC28" s="190">
        <v>-5.0000000000000001E-3</v>
      </c>
      <c r="AD28" s="13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41"/>
      <c r="AW28" s="189" t="s">
        <v>95</v>
      </c>
      <c r="AX28" s="188"/>
      <c r="AY28" s="188"/>
      <c r="AZ28" s="188"/>
      <c r="BA28" s="188"/>
      <c r="BB28" s="188"/>
      <c r="BC28" s="219"/>
      <c r="BD28" s="176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34"/>
      <c r="BU28" t="s">
        <v>35</v>
      </c>
      <c r="CB28" s="175">
        <f t="shared" si="44"/>
        <v>153.16666666666663</v>
      </c>
      <c r="CC28" s="175">
        <f t="shared" si="44"/>
        <v>151.39999999999998</v>
      </c>
      <c r="CD28" s="175">
        <f t="shared" si="44"/>
        <v>103.7</v>
      </c>
      <c r="CE28" s="175">
        <f t="shared" si="44"/>
        <v>55.23333333333332</v>
      </c>
      <c r="CF28" s="175">
        <f t="shared" si="44"/>
        <v>0</v>
      </c>
      <c r="CG28" s="174"/>
    </row>
    <row r="29" spans="1:85" x14ac:dyDescent="0.25">
      <c r="A29" s="326" t="s">
        <v>94</v>
      </c>
      <c r="B29" s="176"/>
      <c r="C29" s="186"/>
      <c r="D29" s="29"/>
      <c r="E29" s="29"/>
      <c r="F29" s="29"/>
      <c r="G29" s="186"/>
      <c r="H29" s="335"/>
      <c r="I29" s="335"/>
      <c r="J29" s="183"/>
      <c r="K29" s="338">
        <v>0</v>
      </c>
      <c r="L29" s="184">
        <v>0</v>
      </c>
      <c r="M29" s="185">
        <v>0</v>
      </c>
      <c r="N29" s="185">
        <v>0</v>
      </c>
      <c r="O29" s="185">
        <v>0</v>
      </c>
      <c r="P29" s="184">
        <v>0</v>
      </c>
      <c r="Q29" s="184">
        <v>0</v>
      </c>
      <c r="R29" s="368"/>
      <c r="S29" s="357"/>
      <c r="T29" s="337" t="s">
        <v>86</v>
      </c>
      <c r="U29" s="181" t="s">
        <v>86</v>
      </c>
      <c r="V29" s="182" t="s">
        <v>86</v>
      </c>
      <c r="W29" s="182"/>
      <c r="X29" s="182" t="s">
        <v>86</v>
      </c>
      <c r="Y29" s="181" t="s">
        <v>86</v>
      </c>
      <c r="Z29" s="180"/>
      <c r="AA29" s="180"/>
      <c r="AB29" s="179"/>
      <c r="AC29" s="178"/>
      <c r="AD29" s="134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77" t="s">
        <v>93</v>
      </c>
      <c r="AV29" s="171"/>
      <c r="AW29" s="144" t="s">
        <v>33</v>
      </c>
      <c r="AX29" s="144" t="s">
        <v>36</v>
      </c>
      <c r="AY29" s="144" t="s">
        <v>92</v>
      </c>
      <c r="AZ29" s="144" t="s">
        <v>143</v>
      </c>
      <c r="BA29" s="144" t="s">
        <v>37</v>
      </c>
      <c r="BB29" s="144" t="s">
        <v>38</v>
      </c>
      <c r="BC29" s="172" t="s">
        <v>146</v>
      </c>
      <c r="BD29" s="150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34"/>
      <c r="BU29" t="s">
        <v>37</v>
      </c>
      <c r="CB29" s="175">
        <f t="shared" si="44"/>
        <v>75.2</v>
      </c>
      <c r="CC29" s="175">
        <f t="shared" si="44"/>
        <v>72.066666666666663</v>
      </c>
      <c r="CD29" s="175">
        <f t="shared" si="44"/>
        <v>49.033333333333324</v>
      </c>
      <c r="CE29" s="175">
        <f t="shared" si="44"/>
        <v>27.199999999999992</v>
      </c>
      <c r="CF29" s="175">
        <f t="shared" si="44"/>
        <v>0</v>
      </c>
      <c r="CG29" s="174"/>
    </row>
    <row r="30" spans="1:8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70">
        <v>2014</v>
      </c>
      <c r="AV30" s="169"/>
      <c r="AW30" s="168">
        <v>4.17</v>
      </c>
      <c r="AX30" s="168">
        <v>9.84</v>
      </c>
      <c r="AY30" s="168">
        <f>(14.21/100)*45</f>
        <v>6.3944999999999999</v>
      </c>
      <c r="AZ30" s="168">
        <f>(16.21/100)*45</f>
        <v>7.2945000000000011</v>
      </c>
      <c r="BA30" s="168">
        <v>4.03</v>
      </c>
      <c r="BB30" s="168">
        <v>5.55</v>
      </c>
      <c r="BC30" s="22">
        <v>350</v>
      </c>
      <c r="BD30" s="142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34"/>
      <c r="BU30" t="s">
        <v>38</v>
      </c>
      <c r="CB30" s="175">
        <f t="shared" si="44"/>
        <v>44.699999999999996</v>
      </c>
      <c r="CC30" s="175">
        <f t="shared" si="44"/>
        <v>44.699999999999996</v>
      </c>
      <c r="CD30" s="175">
        <f t="shared" si="44"/>
        <v>31.2</v>
      </c>
      <c r="CE30" s="175">
        <f t="shared" si="44"/>
        <v>14.999999999999998</v>
      </c>
      <c r="CF30" s="175">
        <f t="shared" si="44"/>
        <v>0</v>
      </c>
      <c r="CG30" s="174"/>
    </row>
    <row r="31" spans="1:85" x14ac:dyDescent="0.25">
      <c r="A31" s="325"/>
      <c r="B31" s="316"/>
      <c r="C31" s="316"/>
      <c r="D31" s="316"/>
      <c r="E31" s="316"/>
      <c r="F31" s="316"/>
      <c r="G31" s="316"/>
      <c r="H31" s="316"/>
      <c r="I31" s="316"/>
      <c r="J31" s="317"/>
      <c r="K31" s="316"/>
      <c r="L31" s="316"/>
      <c r="M31" s="316"/>
      <c r="N31" s="316"/>
      <c r="O31" s="316"/>
      <c r="P31" s="316"/>
      <c r="Q31" s="316"/>
      <c r="R31" s="316"/>
      <c r="S31" s="318"/>
      <c r="T31" s="316"/>
      <c r="U31" s="316"/>
      <c r="V31" s="316"/>
      <c r="W31" s="316"/>
      <c r="X31" s="316"/>
      <c r="Y31" s="316"/>
      <c r="Z31" s="316"/>
      <c r="AA31" s="316"/>
      <c r="AB31" s="15"/>
      <c r="AC31" s="316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64">
        <v>2015</v>
      </c>
      <c r="AV31" s="41"/>
      <c r="AW31" s="163">
        <v>4.09</v>
      </c>
      <c r="AX31" s="163">
        <v>9.8000000000000007</v>
      </c>
      <c r="AY31" s="163">
        <f>(12.93/100)*45</f>
        <v>5.8185000000000002</v>
      </c>
      <c r="AZ31" s="163">
        <f>(14.93/100)*45</f>
        <v>6.7184999999999997</v>
      </c>
      <c r="BA31" s="163">
        <v>3.85</v>
      </c>
      <c r="BB31" s="163">
        <v>5.37</v>
      </c>
      <c r="BC31" s="22">
        <v>350</v>
      </c>
      <c r="BD31" s="138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34"/>
      <c r="BU31" s="167" t="s">
        <v>34</v>
      </c>
      <c r="BV31" s="167"/>
      <c r="BW31" s="167"/>
      <c r="BX31" s="167"/>
      <c r="BY31" s="167"/>
      <c r="BZ31" s="167"/>
      <c r="CA31" s="167"/>
      <c r="CB31" s="166"/>
      <c r="CC31" s="166"/>
      <c r="CD31" s="166"/>
      <c r="CE31" s="166"/>
      <c r="CF31" s="166"/>
      <c r="CG31" s="165"/>
    </row>
    <row r="32" spans="1:8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4"/>
      <c r="AT32" s="154" t="s">
        <v>91</v>
      </c>
      <c r="AU32" s="162" t="s">
        <v>90</v>
      </c>
      <c r="AV32" s="161"/>
      <c r="AW32" s="159">
        <v>4.04</v>
      </c>
      <c r="AX32" s="159">
        <v>9.68</v>
      </c>
      <c r="AY32" s="160">
        <f>(12.82/100)*45</f>
        <v>5.7690000000000001</v>
      </c>
      <c r="AZ32" s="160">
        <f>(14.82/100)*45</f>
        <v>6.6689999999999996</v>
      </c>
      <c r="BA32" s="159">
        <v>3.84</v>
      </c>
      <c r="BB32" s="159">
        <v>5.28</v>
      </c>
      <c r="BC32" s="139">
        <v>350</v>
      </c>
      <c r="BD32" s="150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34"/>
    </row>
    <row r="33" spans="1:85" ht="18.7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4"/>
      <c r="AU33" s="154"/>
      <c r="AV33" s="153"/>
      <c r="AW33" s="152" t="s">
        <v>88</v>
      </c>
      <c r="AX33" s="151"/>
      <c r="AY33" s="151"/>
      <c r="AZ33" s="151"/>
      <c r="BA33" s="151"/>
      <c r="BB33" s="151"/>
      <c r="BC33" s="350"/>
      <c r="BD33" s="142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34"/>
      <c r="BU33" s="158" t="s">
        <v>89</v>
      </c>
      <c r="BV33" s="157"/>
      <c r="BW33" s="157"/>
      <c r="BX33" s="157"/>
      <c r="BY33" s="157"/>
      <c r="BZ33" s="157"/>
      <c r="CA33" s="157"/>
      <c r="CB33" s="157"/>
      <c r="CC33" s="156">
        <v>1.0149999999999999</v>
      </c>
      <c r="CD33" s="156">
        <v>1.0149999999999999</v>
      </c>
      <c r="CE33" s="156">
        <v>1.0149999999999999</v>
      </c>
      <c r="CF33" s="156">
        <v>1.0149999999999999</v>
      </c>
      <c r="CG33" s="155">
        <v>1.0149999999999999</v>
      </c>
    </row>
    <row r="34" spans="1:8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45"/>
      <c r="AU34" s="145"/>
      <c r="AV34" s="141"/>
      <c r="AW34" s="143">
        <v>41834</v>
      </c>
      <c r="AX34" s="143">
        <v>41896</v>
      </c>
      <c r="AY34" s="143">
        <v>41896</v>
      </c>
      <c r="AZ34" s="143"/>
      <c r="BA34" s="144" t="s">
        <v>86</v>
      </c>
      <c r="BB34" s="143">
        <v>41896</v>
      </c>
      <c r="BC34" s="144" t="s">
        <v>86</v>
      </c>
      <c r="BD34" s="138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34"/>
      <c r="BU34" s="149" t="s">
        <v>87</v>
      </c>
      <c r="BV34" s="148"/>
      <c r="BW34" s="148"/>
      <c r="BX34" s="148"/>
      <c r="BY34" s="148"/>
      <c r="BZ34" s="148"/>
      <c r="CA34" s="148"/>
      <c r="CB34" s="148"/>
      <c r="CC34" s="147">
        <v>1.0149999999999999</v>
      </c>
      <c r="CD34" s="147">
        <v>1.0149999999999999</v>
      </c>
      <c r="CE34" s="147">
        <v>1.0149999999999999</v>
      </c>
      <c r="CF34" s="147">
        <v>1.0149999999999999</v>
      </c>
      <c r="CG34" s="146">
        <v>1.0149999999999999</v>
      </c>
    </row>
    <row r="35" spans="1:8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41"/>
      <c r="AW35" s="139">
        <v>4.9000000000000004</v>
      </c>
      <c r="AX35" s="139">
        <v>12.56</v>
      </c>
      <c r="AY35" s="139">
        <f>(14.28/100)*45</f>
        <v>6.4259999999999993</v>
      </c>
      <c r="AZ35" s="139"/>
      <c r="BA35" s="140">
        <f>(BA10-AW10)+AW35</f>
        <v>4.6885333333333348</v>
      </c>
      <c r="BB35" s="139">
        <v>7.25</v>
      </c>
      <c r="BC35" s="139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34"/>
    </row>
    <row r="36" spans="1:8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34"/>
      <c r="BU36" s="15" t="s">
        <v>85</v>
      </c>
      <c r="CB36" s="135">
        <v>1</v>
      </c>
      <c r="CC36" s="135">
        <v>1</v>
      </c>
      <c r="CD36" s="135">
        <v>1</v>
      </c>
      <c r="CE36" s="135">
        <v>1</v>
      </c>
      <c r="CF36" s="135">
        <v>1</v>
      </c>
    </row>
    <row r="37" spans="1:8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 t="s">
        <v>83</v>
      </c>
      <c r="CB37" s="135">
        <v>1</v>
      </c>
      <c r="CC37" s="135">
        <v>1</v>
      </c>
      <c r="CD37" s="135">
        <v>1</v>
      </c>
      <c r="CE37" s="135">
        <v>1</v>
      </c>
      <c r="CF37" s="135">
        <v>1</v>
      </c>
    </row>
    <row r="38" spans="1:85" x14ac:dyDescent="0.25">
      <c r="A38" s="15"/>
      <c r="B38" s="319"/>
      <c r="C38" s="319"/>
      <c r="D38" s="319"/>
      <c r="E38" s="319"/>
      <c r="F38" s="319"/>
      <c r="G38" s="319"/>
      <c r="H38" s="319"/>
      <c r="I38" s="320"/>
      <c r="J38" s="250"/>
      <c r="K38" s="319"/>
      <c r="L38" s="319"/>
      <c r="M38" s="319"/>
      <c r="N38" s="319"/>
      <c r="O38" s="319"/>
      <c r="P38" s="319"/>
      <c r="Q38" s="319"/>
      <c r="R38" s="320"/>
      <c r="S38" s="318"/>
      <c r="T38" s="319"/>
      <c r="U38" s="319"/>
      <c r="V38" s="319"/>
      <c r="W38" s="319"/>
      <c r="X38" s="319"/>
      <c r="Y38" s="319"/>
      <c r="Z38" s="319"/>
      <c r="AA38" s="320"/>
      <c r="AB38" s="15"/>
      <c r="AC38" s="319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 t="s">
        <v>82</v>
      </c>
      <c r="CB38" s="135">
        <v>1</v>
      </c>
      <c r="CC38" s="135">
        <v>1</v>
      </c>
      <c r="CD38" s="135">
        <v>1</v>
      </c>
      <c r="CE38" s="135">
        <v>1</v>
      </c>
      <c r="CF38" s="135">
        <v>1</v>
      </c>
    </row>
    <row r="39" spans="1:85" x14ac:dyDescent="0.25">
      <c r="A39" s="322"/>
      <c r="B39" s="319"/>
      <c r="C39" s="319"/>
      <c r="D39" s="319"/>
      <c r="E39" s="319"/>
      <c r="F39" s="319"/>
      <c r="G39" s="319"/>
      <c r="H39" s="319"/>
      <c r="I39" s="320"/>
      <c r="J39" s="321"/>
      <c r="K39" s="320"/>
      <c r="L39" s="319"/>
      <c r="M39" s="319"/>
      <c r="N39" s="319"/>
      <c r="O39" s="319"/>
      <c r="P39" s="319"/>
      <c r="Q39" s="319"/>
      <c r="R39" s="320"/>
      <c r="S39" s="318"/>
      <c r="T39" s="319"/>
      <c r="U39" s="319"/>
      <c r="V39" s="319"/>
      <c r="W39" s="319"/>
      <c r="X39" s="319"/>
      <c r="Y39" s="319"/>
      <c r="Z39" s="319"/>
      <c r="AA39" s="320"/>
      <c r="AB39" s="15"/>
      <c r="AC39" s="320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 t="s">
        <v>81</v>
      </c>
      <c r="CB39" s="135">
        <v>1</v>
      </c>
      <c r="CC39" s="135">
        <v>1</v>
      </c>
      <c r="CD39" s="135">
        <v>1</v>
      </c>
      <c r="CE39" s="135">
        <v>1</v>
      </c>
      <c r="CF39" s="135">
        <v>1</v>
      </c>
    </row>
    <row r="40" spans="1:85" x14ac:dyDescent="0.25">
      <c r="A40" s="15"/>
      <c r="B40" s="319"/>
      <c r="C40" s="319"/>
      <c r="D40" s="319"/>
      <c r="E40" s="319"/>
      <c r="F40" s="319"/>
      <c r="G40" s="319"/>
      <c r="H40" s="319"/>
      <c r="I40" s="320"/>
      <c r="J40" s="250"/>
      <c r="K40" s="319"/>
      <c r="L40" s="319"/>
      <c r="M40" s="319"/>
      <c r="N40" s="319"/>
      <c r="O40" s="319"/>
      <c r="P40" s="319"/>
      <c r="Q40" s="319"/>
      <c r="R40" s="320"/>
      <c r="S40" s="318"/>
      <c r="T40" s="319"/>
      <c r="U40" s="319"/>
      <c r="V40" s="319"/>
      <c r="W40" s="319"/>
      <c r="X40" s="319"/>
      <c r="Y40" s="319"/>
      <c r="Z40" s="319"/>
      <c r="AA40" s="320"/>
      <c r="AB40" s="15"/>
      <c r="AC40" s="319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 t="s">
        <v>80</v>
      </c>
      <c r="CB40" s="135">
        <v>1</v>
      </c>
      <c r="CC40" s="135">
        <v>1</v>
      </c>
      <c r="CD40" s="135">
        <v>1</v>
      </c>
      <c r="CE40" s="135">
        <v>1</v>
      </c>
      <c r="CF40" s="135">
        <v>1</v>
      </c>
    </row>
    <row r="41" spans="1:85" x14ac:dyDescent="0.25">
      <c r="A41" s="322"/>
      <c r="B41" s="319"/>
      <c r="C41" s="319"/>
      <c r="D41" s="319"/>
      <c r="E41" s="319"/>
      <c r="F41" s="319"/>
      <c r="G41" s="319"/>
      <c r="H41" s="319"/>
      <c r="I41" s="320"/>
      <c r="J41" s="321"/>
      <c r="K41" s="319"/>
      <c r="L41" s="319"/>
      <c r="M41" s="319"/>
      <c r="N41" s="319"/>
      <c r="O41" s="319"/>
      <c r="P41" s="319"/>
      <c r="Q41" s="319"/>
      <c r="R41" s="320"/>
      <c r="S41" s="318"/>
      <c r="T41" s="319"/>
      <c r="U41" s="319"/>
      <c r="V41" s="319"/>
      <c r="W41" s="319"/>
      <c r="X41" s="319"/>
      <c r="Y41" s="319"/>
      <c r="Z41" s="319"/>
      <c r="AA41" s="320"/>
      <c r="AB41" s="15"/>
      <c r="AC41" s="320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 t="s">
        <v>79</v>
      </c>
      <c r="CB41" s="135">
        <v>1</v>
      </c>
      <c r="CC41" s="135">
        <v>1</v>
      </c>
      <c r="CD41" s="135">
        <v>1</v>
      </c>
      <c r="CE41" s="135">
        <v>1</v>
      </c>
      <c r="CF41" s="135">
        <v>1</v>
      </c>
    </row>
    <row r="42" spans="1:85" x14ac:dyDescent="0.25">
      <c r="A42" s="15"/>
      <c r="B42" s="163"/>
      <c r="C42" s="163"/>
      <c r="D42" s="163"/>
      <c r="E42" s="163"/>
      <c r="F42" s="163"/>
      <c r="G42" s="163"/>
      <c r="H42" s="163"/>
      <c r="I42" s="163"/>
      <c r="J42" s="323"/>
      <c r="K42" s="163"/>
      <c r="L42" s="163"/>
      <c r="M42" s="163"/>
      <c r="N42" s="163"/>
      <c r="O42" s="163"/>
      <c r="P42" s="163"/>
      <c r="Q42" s="163"/>
      <c r="R42" s="163"/>
      <c r="S42" s="318"/>
      <c r="T42" s="163"/>
      <c r="U42" s="163"/>
      <c r="V42" s="163"/>
      <c r="W42" s="163"/>
      <c r="X42" s="163"/>
      <c r="Y42" s="163"/>
      <c r="Z42" s="163"/>
      <c r="AA42" s="163"/>
      <c r="AB42" s="15"/>
      <c r="AC42" s="163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 t="s">
        <v>78</v>
      </c>
      <c r="CB42" s="135">
        <v>1</v>
      </c>
      <c r="CC42" s="135">
        <v>1</v>
      </c>
      <c r="CD42" s="135">
        <v>1</v>
      </c>
      <c r="CE42" s="135">
        <v>1</v>
      </c>
      <c r="CF42" s="135">
        <v>1</v>
      </c>
    </row>
    <row r="43" spans="1:85" x14ac:dyDescent="0.25">
      <c r="A43" s="325"/>
      <c r="B43" s="163"/>
      <c r="C43" s="163"/>
      <c r="D43" s="163"/>
      <c r="E43" s="163"/>
      <c r="F43" s="163"/>
      <c r="G43" s="163"/>
      <c r="H43" s="163"/>
      <c r="I43" s="163"/>
      <c r="J43" s="323"/>
      <c r="K43" s="163"/>
      <c r="L43" s="163"/>
      <c r="M43" s="163"/>
      <c r="N43" s="163"/>
      <c r="O43" s="163"/>
      <c r="P43" s="163"/>
      <c r="Q43" s="163"/>
      <c r="R43" s="163"/>
      <c r="S43" s="318"/>
      <c r="T43" s="163"/>
      <c r="U43" s="163"/>
      <c r="V43" s="163"/>
      <c r="W43" s="163"/>
      <c r="X43" s="163"/>
      <c r="Y43" s="163"/>
      <c r="Z43" s="163"/>
      <c r="AA43" s="163"/>
      <c r="AB43" s="15"/>
      <c r="AC43" s="163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 t="s">
        <v>77</v>
      </c>
      <c r="CB43" s="135">
        <v>1</v>
      </c>
      <c r="CC43" s="135">
        <v>1</v>
      </c>
      <c r="CD43" s="135">
        <v>1</v>
      </c>
      <c r="CE43" s="135">
        <v>1</v>
      </c>
      <c r="CF43" s="135">
        <v>1</v>
      </c>
    </row>
    <row r="44" spans="1:85" x14ac:dyDescent="0.25">
      <c r="A44" s="15"/>
      <c r="B44" s="163"/>
      <c r="C44" s="163"/>
      <c r="D44" s="163"/>
      <c r="E44" s="163"/>
      <c r="F44" s="163"/>
      <c r="G44" s="163"/>
      <c r="H44" s="163"/>
      <c r="I44" s="324"/>
      <c r="J44" s="323"/>
      <c r="K44" s="163"/>
      <c r="L44" s="163"/>
      <c r="M44" s="163"/>
      <c r="N44" s="163"/>
      <c r="O44" s="163"/>
      <c r="P44" s="163"/>
      <c r="Q44" s="163"/>
      <c r="R44" s="324"/>
      <c r="S44" s="318"/>
      <c r="T44" s="163"/>
      <c r="U44" s="163"/>
      <c r="V44" s="163"/>
      <c r="W44" s="163"/>
      <c r="X44" s="163"/>
      <c r="Y44" s="163"/>
      <c r="Z44" s="163"/>
      <c r="AA44" s="324"/>
      <c r="AB44" s="15"/>
      <c r="AC44" s="163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 t="s">
        <v>76</v>
      </c>
      <c r="CB44" s="135">
        <v>1</v>
      </c>
      <c r="CC44" s="135">
        <v>1</v>
      </c>
      <c r="CD44" s="135">
        <v>1</v>
      </c>
      <c r="CE44" s="135">
        <v>1</v>
      </c>
      <c r="CF44" s="135">
        <v>1</v>
      </c>
    </row>
    <row r="45" spans="1:85" x14ac:dyDescent="0.25">
      <c r="A45" s="15"/>
      <c r="B45" s="163"/>
      <c r="C45" s="163"/>
      <c r="D45" s="163"/>
      <c r="E45" s="163"/>
      <c r="F45" s="163"/>
      <c r="G45" s="163"/>
      <c r="H45" s="163"/>
      <c r="I45" s="324"/>
      <c r="J45" s="323"/>
      <c r="K45" s="163"/>
      <c r="L45" s="163"/>
      <c r="M45" s="163"/>
      <c r="N45" s="163"/>
      <c r="O45" s="163"/>
      <c r="P45" s="163"/>
      <c r="Q45" s="163"/>
      <c r="R45" s="324"/>
      <c r="S45" s="318"/>
      <c r="T45" s="163"/>
      <c r="U45" s="163"/>
      <c r="V45" s="163"/>
      <c r="W45" s="163"/>
      <c r="X45" s="163"/>
      <c r="Y45" s="163"/>
      <c r="Z45" s="163"/>
      <c r="AA45" s="324"/>
      <c r="AB45" s="15"/>
      <c r="AC45" s="163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 t="s">
        <v>75</v>
      </c>
      <c r="CB45" s="135">
        <v>1</v>
      </c>
      <c r="CC45" s="135">
        <v>1</v>
      </c>
      <c r="CD45" s="135">
        <v>1</v>
      </c>
      <c r="CE45" s="135">
        <v>1</v>
      </c>
      <c r="CF45" s="135">
        <v>1</v>
      </c>
    </row>
    <row r="46" spans="1:85" x14ac:dyDescent="0.25">
      <c r="A46" s="15"/>
      <c r="B46" s="163"/>
      <c r="C46" s="163"/>
      <c r="D46" s="163"/>
      <c r="E46" s="163"/>
      <c r="F46" s="163"/>
      <c r="G46" s="163"/>
      <c r="H46" s="163"/>
      <c r="I46" s="324"/>
      <c r="J46" s="323"/>
      <c r="K46" s="163"/>
      <c r="L46" s="163"/>
      <c r="M46" s="163"/>
      <c r="N46" s="163"/>
      <c r="O46" s="163"/>
      <c r="P46" s="163"/>
      <c r="Q46" s="163"/>
      <c r="R46" s="324"/>
      <c r="S46" s="318"/>
      <c r="T46" s="163"/>
      <c r="U46" s="163"/>
      <c r="V46" s="163"/>
      <c r="W46" s="163"/>
      <c r="X46" s="163"/>
      <c r="Y46" s="163"/>
      <c r="Z46" s="163"/>
      <c r="AA46" s="324"/>
      <c r="AB46" s="15"/>
      <c r="AC46" s="163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 t="s">
        <v>74</v>
      </c>
      <c r="CB46" s="135">
        <v>1</v>
      </c>
      <c r="CC46" s="135">
        <v>1</v>
      </c>
      <c r="CD46" s="135">
        <v>1</v>
      </c>
      <c r="CE46" s="135">
        <v>1</v>
      </c>
      <c r="CF46" s="135">
        <v>1</v>
      </c>
    </row>
    <row r="47" spans="1:85" x14ac:dyDescent="0.25">
      <c r="A47" s="15"/>
      <c r="B47" s="163"/>
      <c r="C47" s="163"/>
      <c r="D47" s="163"/>
      <c r="E47" s="163"/>
      <c r="F47" s="163"/>
      <c r="G47" s="163"/>
      <c r="H47" s="163"/>
      <c r="I47" s="324"/>
      <c r="J47" s="323"/>
      <c r="K47" s="163"/>
      <c r="L47" s="163"/>
      <c r="M47" s="163"/>
      <c r="N47" s="163"/>
      <c r="O47" s="163"/>
      <c r="P47" s="163"/>
      <c r="Q47" s="163"/>
      <c r="R47" s="324"/>
      <c r="S47" s="318"/>
      <c r="T47" s="163"/>
      <c r="U47" s="163"/>
      <c r="V47" s="163"/>
      <c r="W47" s="163"/>
      <c r="X47" s="163"/>
      <c r="Y47" s="163"/>
      <c r="Z47" s="163"/>
      <c r="AA47" s="324"/>
      <c r="AB47" s="15"/>
      <c r="AC47" s="163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 t="s">
        <v>73</v>
      </c>
      <c r="CB47" s="135">
        <v>1</v>
      </c>
      <c r="CC47" s="135">
        <v>1</v>
      </c>
      <c r="CD47" s="135">
        <v>1</v>
      </c>
      <c r="CE47" s="135">
        <v>1</v>
      </c>
      <c r="CF47" s="135">
        <v>1</v>
      </c>
    </row>
    <row r="48" spans="1:85" x14ac:dyDescent="0.25">
      <c r="A48" s="15"/>
      <c r="B48" s="163"/>
      <c r="C48" s="163"/>
      <c r="D48" s="163"/>
      <c r="E48" s="163"/>
      <c r="F48" s="163"/>
      <c r="G48" s="163"/>
      <c r="H48" s="163"/>
      <c r="I48" s="324"/>
      <c r="J48" s="323"/>
      <c r="K48" s="163"/>
      <c r="L48" s="163"/>
      <c r="M48" s="163"/>
      <c r="N48" s="163"/>
      <c r="O48" s="163"/>
      <c r="P48" s="163"/>
      <c r="Q48" s="163"/>
      <c r="R48" s="324"/>
      <c r="S48" s="318"/>
      <c r="T48" s="163"/>
      <c r="U48" s="163"/>
      <c r="V48" s="163"/>
      <c r="W48" s="163"/>
      <c r="X48" s="163"/>
      <c r="Y48" s="163"/>
      <c r="Z48" s="163"/>
      <c r="AA48" s="324"/>
      <c r="AB48" s="15"/>
      <c r="AC48" s="163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 t="s">
        <v>72</v>
      </c>
      <c r="CB48" s="135">
        <v>1</v>
      </c>
      <c r="CC48" s="135">
        <v>1</v>
      </c>
      <c r="CD48" s="135">
        <v>1</v>
      </c>
      <c r="CE48" s="135">
        <v>1</v>
      </c>
      <c r="CF48" s="135">
        <v>1</v>
      </c>
    </row>
    <row r="49" spans="1:84" x14ac:dyDescent="0.25">
      <c r="A49" s="325"/>
      <c r="B49" s="163"/>
      <c r="C49" s="163"/>
      <c r="D49" s="163"/>
      <c r="E49" s="163"/>
      <c r="F49" s="163"/>
      <c r="G49" s="163"/>
      <c r="H49" s="163"/>
      <c r="I49" s="324"/>
      <c r="J49" s="323"/>
      <c r="K49" s="163"/>
      <c r="L49" s="163"/>
      <c r="M49" s="163"/>
      <c r="N49" s="163"/>
      <c r="O49" s="163"/>
      <c r="P49" s="163"/>
      <c r="Q49" s="163"/>
      <c r="R49" s="324"/>
      <c r="S49" s="318"/>
      <c r="T49" s="163"/>
      <c r="U49" s="163"/>
      <c r="V49" s="163"/>
      <c r="W49" s="163"/>
      <c r="X49" s="163"/>
      <c r="Y49" s="163"/>
      <c r="Z49" s="163"/>
      <c r="AA49" s="324"/>
      <c r="AB49" s="15"/>
      <c r="AC49" s="163"/>
      <c r="AD49" s="15"/>
      <c r="BU49" s="15" t="s">
        <v>71</v>
      </c>
      <c r="CB49" s="135">
        <v>1</v>
      </c>
      <c r="CC49" s="135">
        <v>1</v>
      </c>
      <c r="CD49" s="135">
        <v>1</v>
      </c>
      <c r="CE49" s="135">
        <v>1</v>
      </c>
      <c r="CF49" s="135">
        <v>1</v>
      </c>
    </row>
    <row r="50" spans="1:84" x14ac:dyDescent="0.25">
      <c r="A50" s="15"/>
      <c r="B50" s="163"/>
      <c r="C50" s="163"/>
      <c r="D50" s="163"/>
      <c r="E50" s="163"/>
      <c r="F50" s="163"/>
      <c r="G50" s="163"/>
      <c r="H50" s="163"/>
      <c r="I50" s="324"/>
      <c r="J50" s="323"/>
      <c r="K50" s="163"/>
      <c r="L50" s="163"/>
      <c r="M50" s="163"/>
      <c r="N50" s="163"/>
      <c r="O50" s="163"/>
      <c r="P50" s="163"/>
      <c r="Q50" s="163"/>
      <c r="R50" s="324"/>
      <c r="S50" s="318"/>
      <c r="T50" s="163"/>
      <c r="U50" s="163"/>
      <c r="V50" s="163"/>
      <c r="W50" s="163"/>
      <c r="X50" s="163"/>
      <c r="Y50" s="163"/>
      <c r="Z50" s="163"/>
      <c r="AA50" s="324"/>
      <c r="AB50" s="15"/>
      <c r="AC50" s="163"/>
      <c r="AD50" s="15"/>
      <c r="BU50" s="15" t="s">
        <v>70</v>
      </c>
      <c r="CB50" s="135">
        <v>1</v>
      </c>
      <c r="CC50" s="135">
        <v>1</v>
      </c>
      <c r="CD50" s="135">
        <v>1</v>
      </c>
      <c r="CE50" s="135">
        <v>1</v>
      </c>
      <c r="CF50" s="135">
        <v>1</v>
      </c>
    </row>
    <row r="51" spans="1:84" x14ac:dyDescent="0.25">
      <c r="A51" s="15"/>
      <c r="B51" s="163"/>
      <c r="C51" s="163"/>
      <c r="D51" s="163"/>
      <c r="E51" s="163"/>
      <c r="F51" s="163"/>
      <c r="G51" s="163"/>
      <c r="H51" s="163"/>
      <c r="I51" s="324"/>
      <c r="J51" s="323"/>
      <c r="K51" s="163"/>
      <c r="L51" s="163"/>
      <c r="M51" s="163"/>
      <c r="N51" s="163"/>
      <c r="O51" s="163"/>
      <c r="P51" s="163"/>
      <c r="Q51" s="163"/>
      <c r="R51" s="324"/>
      <c r="S51" s="318"/>
      <c r="T51" s="163"/>
      <c r="U51" s="163"/>
      <c r="V51" s="163"/>
      <c r="W51" s="163"/>
      <c r="X51" s="163"/>
      <c r="Y51" s="163"/>
      <c r="Z51" s="163"/>
      <c r="AA51" s="324"/>
      <c r="AB51" s="15"/>
      <c r="AC51" s="163"/>
      <c r="AD51" s="15"/>
      <c r="BU51" s="15" t="s">
        <v>69</v>
      </c>
      <c r="CB51" s="135">
        <v>1</v>
      </c>
      <c r="CC51" s="135">
        <v>1</v>
      </c>
      <c r="CD51" s="135">
        <v>1</v>
      </c>
      <c r="CE51" s="135">
        <v>1</v>
      </c>
      <c r="CF51" s="135">
        <v>1</v>
      </c>
    </row>
    <row r="52" spans="1:84" x14ac:dyDescent="0.25">
      <c r="A52" s="15"/>
      <c r="B52" s="163"/>
      <c r="C52" s="163"/>
      <c r="D52" s="163"/>
      <c r="E52" s="163"/>
      <c r="F52" s="163"/>
      <c r="G52" s="163"/>
      <c r="H52" s="163"/>
      <c r="I52" s="324"/>
      <c r="J52" s="323"/>
      <c r="K52" s="163"/>
      <c r="L52" s="163"/>
      <c r="M52" s="163"/>
      <c r="N52" s="163"/>
      <c r="O52" s="163"/>
      <c r="P52" s="163"/>
      <c r="Q52" s="163"/>
      <c r="R52" s="324"/>
      <c r="S52" s="318"/>
      <c r="T52" s="163"/>
      <c r="U52" s="163"/>
      <c r="V52" s="163"/>
      <c r="W52" s="163"/>
      <c r="X52" s="163"/>
      <c r="Y52" s="163"/>
      <c r="Z52" s="163"/>
      <c r="AA52" s="324"/>
      <c r="AB52" s="15"/>
      <c r="AC52" s="163"/>
      <c r="AD52" s="15"/>
      <c r="BU52" s="15" t="s">
        <v>68</v>
      </c>
      <c r="CB52" s="135">
        <v>1</v>
      </c>
      <c r="CC52" s="135">
        <v>1</v>
      </c>
      <c r="CD52" s="135">
        <v>1</v>
      </c>
      <c r="CE52" s="135">
        <v>1</v>
      </c>
      <c r="CF52" s="135">
        <v>1</v>
      </c>
    </row>
    <row r="53" spans="1:84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BU53" s="15" t="s">
        <v>42</v>
      </c>
      <c r="CB53" s="135">
        <v>1</v>
      </c>
      <c r="CC53" s="135">
        <v>1</v>
      </c>
      <c r="CD53" s="135">
        <v>1</v>
      </c>
      <c r="CE53" s="135">
        <v>1</v>
      </c>
      <c r="CF53" s="135">
        <v>1</v>
      </c>
    </row>
    <row r="54" spans="1:84" x14ac:dyDescent="0.25">
      <c r="A54" s="15"/>
      <c r="B54" s="243"/>
      <c r="C54" s="243"/>
      <c r="D54" s="243"/>
      <c r="E54" s="243"/>
      <c r="F54" s="243"/>
      <c r="G54" s="243"/>
      <c r="H54" s="243"/>
      <c r="I54" s="15"/>
      <c r="J54" s="15"/>
      <c r="K54" s="243"/>
      <c r="L54" s="243"/>
      <c r="M54" s="243"/>
      <c r="N54" s="243"/>
      <c r="O54" s="243"/>
      <c r="P54" s="243"/>
      <c r="Q54" s="243"/>
      <c r="R54" s="15"/>
      <c r="S54" s="15"/>
      <c r="T54" s="243"/>
      <c r="U54" s="243"/>
      <c r="V54" s="243"/>
      <c r="W54" s="243"/>
      <c r="X54" s="243"/>
      <c r="Y54" s="243"/>
      <c r="Z54" s="243"/>
      <c r="AA54" s="15"/>
      <c r="AB54" s="15"/>
      <c r="AC54" s="15"/>
      <c r="AD54" s="15"/>
      <c r="BU54" s="15" t="s">
        <v>67</v>
      </c>
      <c r="CB54" s="135">
        <v>1</v>
      </c>
      <c r="CC54" s="135">
        <v>1</v>
      </c>
      <c r="CD54" s="135">
        <v>1</v>
      </c>
      <c r="CE54" s="135">
        <v>1</v>
      </c>
      <c r="CF54" s="135">
        <v>1</v>
      </c>
    </row>
    <row r="55" spans="1:84" x14ac:dyDescent="0.25">
      <c r="A55" s="15"/>
      <c r="B55" s="22"/>
      <c r="C55" s="22"/>
      <c r="D55" s="22"/>
      <c r="E55" s="22"/>
      <c r="F55" s="22"/>
      <c r="G55" s="22"/>
      <c r="H55" s="22"/>
      <c r="I55" s="15"/>
      <c r="J55" s="15"/>
      <c r="K55" s="22"/>
      <c r="L55" s="22"/>
      <c r="M55" s="22"/>
      <c r="N55" s="22"/>
      <c r="O55" s="22"/>
      <c r="P55" s="22"/>
      <c r="Q55" s="22"/>
      <c r="R55" s="15"/>
      <c r="S55" s="15"/>
      <c r="T55" s="22"/>
      <c r="U55" s="22"/>
      <c r="V55" s="22"/>
      <c r="W55" s="22"/>
      <c r="X55" s="22"/>
      <c r="Y55" s="22"/>
      <c r="Z55" s="22"/>
      <c r="AA55" s="15"/>
      <c r="AB55" s="15"/>
      <c r="AC55" s="22"/>
      <c r="AD55" s="15"/>
      <c r="BU55" s="15" t="s">
        <v>84</v>
      </c>
      <c r="CB55" s="135">
        <v>1</v>
      </c>
      <c r="CC55" s="135">
        <v>1</v>
      </c>
      <c r="CD55" s="135">
        <v>1</v>
      </c>
      <c r="CE55" s="135">
        <v>1</v>
      </c>
      <c r="CF55" s="135">
        <v>1</v>
      </c>
    </row>
    <row r="56" spans="1:84" x14ac:dyDescent="0.25">
      <c r="A56" s="15"/>
      <c r="B56" s="22"/>
      <c r="C56" s="22"/>
      <c r="D56" s="22"/>
      <c r="E56" s="22"/>
      <c r="F56" s="22"/>
      <c r="G56" s="22"/>
      <c r="H56" s="22"/>
      <c r="I56" s="15"/>
      <c r="J56" s="15"/>
      <c r="K56" s="22"/>
      <c r="L56" s="22"/>
      <c r="M56" s="22"/>
      <c r="N56" s="22"/>
      <c r="O56" s="22"/>
      <c r="P56" s="22"/>
      <c r="Q56" s="22"/>
      <c r="R56" s="15"/>
      <c r="S56" s="15"/>
      <c r="T56" s="22"/>
      <c r="U56" s="22"/>
      <c r="V56" s="22"/>
      <c r="W56" s="22"/>
      <c r="X56" s="22"/>
      <c r="Y56" s="22"/>
      <c r="Z56" s="22"/>
      <c r="AA56" s="15"/>
      <c r="AB56" s="15"/>
      <c r="AC56" s="22"/>
      <c r="AD56" s="15"/>
      <c r="BU56" s="15" t="s">
        <v>66</v>
      </c>
      <c r="CB56" s="135">
        <v>1</v>
      </c>
      <c r="CC56" s="135">
        <v>1</v>
      </c>
      <c r="CD56" s="135">
        <v>1</v>
      </c>
      <c r="CE56" s="135">
        <v>1</v>
      </c>
      <c r="CF56" s="135">
        <v>1</v>
      </c>
    </row>
    <row r="57" spans="1:84" x14ac:dyDescent="0.25">
      <c r="A57" s="15"/>
      <c r="B57" s="22"/>
      <c r="C57" s="22"/>
      <c r="D57" s="22"/>
      <c r="E57" s="22"/>
      <c r="F57" s="22"/>
      <c r="G57" s="22"/>
      <c r="H57" s="22"/>
      <c r="I57" s="15"/>
      <c r="J57" s="15"/>
      <c r="K57" s="22"/>
      <c r="L57" s="22"/>
      <c r="M57" s="22"/>
      <c r="N57" s="22"/>
      <c r="O57" s="22"/>
      <c r="P57" s="22"/>
      <c r="Q57" s="22"/>
      <c r="R57" s="15"/>
      <c r="S57" s="15"/>
      <c r="T57" s="22"/>
      <c r="U57" s="22"/>
      <c r="V57" s="22"/>
      <c r="W57" s="22"/>
      <c r="X57" s="22"/>
      <c r="Y57" s="22"/>
      <c r="Z57" s="22"/>
      <c r="AA57" s="15"/>
      <c r="AB57" s="15"/>
      <c r="AC57" s="22"/>
      <c r="AD57" s="15"/>
      <c r="BU57" s="15" t="s">
        <v>65</v>
      </c>
      <c r="CB57" s="135">
        <v>1</v>
      </c>
      <c r="CC57" s="135">
        <v>1</v>
      </c>
      <c r="CD57" s="135">
        <v>1</v>
      </c>
      <c r="CE57" s="135">
        <v>1</v>
      </c>
      <c r="CF57" s="135">
        <v>1</v>
      </c>
    </row>
    <row r="58" spans="1:84" x14ac:dyDescent="0.25">
      <c r="A58" s="15"/>
      <c r="B58" s="22"/>
      <c r="C58" s="22"/>
      <c r="D58" s="22"/>
      <c r="E58" s="22"/>
      <c r="F58" s="22"/>
      <c r="G58" s="22"/>
      <c r="H58" s="22"/>
      <c r="I58" s="15"/>
      <c r="J58" s="15"/>
      <c r="K58" s="22"/>
      <c r="L58" s="22"/>
      <c r="M58" s="22"/>
      <c r="N58" s="22"/>
      <c r="O58" s="22"/>
      <c r="P58" s="22"/>
      <c r="Q58" s="22"/>
      <c r="R58" s="15"/>
      <c r="S58" s="15"/>
      <c r="T58" s="22"/>
      <c r="U58" s="22"/>
      <c r="V58" s="22"/>
      <c r="W58" s="22"/>
      <c r="X58" s="22"/>
      <c r="Y58" s="22"/>
      <c r="Z58" s="22"/>
      <c r="AA58" s="15"/>
      <c r="AB58" s="15"/>
      <c r="AC58" s="22"/>
      <c r="AD58" s="15"/>
      <c r="BU58" s="15" t="s">
        <v>64</v>
      </c>
      <c r="CB58" s="135">
        <v>1</v>
      </c>
      <c r="CC58" s="135">
        <v>1</v>
      </c>
      <c r="CD58" s="135">
        <v>1</v>
      </c>
      <c r="CE58" s="135">
        <v>1</v>
      </c>
      <c r="CF58" s="135">
        <v>1</v>
      </c>
    </row>
    <row r="59" spans="1:84" x14ac:dyDescent="0.25">
      <c r="A59" s="15"/>
      <c r="B59" s="22"/>
      <c r="C59" s="22"/>
      <c r="D59" s="22"/>
      <c r="E59" s="22"/>
      <c r="F59" s="22"/>
      <c r="G59" s="22"/>
      <c r="H59" s="22"/>
      <c r="I59" s="15"/>
      <c r="J59" s="15"/>
      <c r="K59" s="22"/>
      <c r="L59" s="22"/>
      <c r="M59" s="22"/>
      <c r="N59" s="22"/>
      <c r="O59" s="22"/>
      <c r="P59" s="22"/>
      <c r="Q59" s="22"/>
      <c r="R59" s="15"/>
      <c r="S59" s="15"/>
      <c r="T59" s="22"/>
      <c r="U59" s="22"/>
      <c r="V59" s="22"/>
      <c r="W59" s="22"/>
      <c r="X59" s="22"/>
      <c r="Y59" s="22"/>
      <c r="Z59" s="22"/>
      <c r="AA59" s="15"/>
      <c r="AB59" s="15"/>
      <c r="AC59" s="22"/>
      <c r="AD59" s="15"/>
      <c r="BU59" s="15" t="s">
        <v>63</v>
      </c>
      <c r="CB59" s="135">
        <v>1</v>
      </c>
      <c r="CC59" s="135">
        <v>1</v>
      </c>
      <c r="CD59" s="135">
        <v>1</v>
      </c>
      <c r="CE59" s="135">
        <v>1</v>
      </c>
      <c r="CF59" s="135">
        <v>1</v>
      </c>
    </row>
    <row r="60" spans="1:84" x14ac:dyDescent="0.25">
      <c r="A60" s="15"/>
      <c r="B60" s="22"/>
      <c r="C60" s="22"/>
      <c r="D60" s="22"/>
      <c r="E60" s="22"/>
      <c r="F60" s="22"/>
      <c r="G60" s="22"/>
      <c r="H60" s="22"/>
      <c r="I60" s="15"/>
      <c r="J60" s="15"/>
      <c r="K60" s="22"/>
      <c r="L60" s="22"/>
      <c r="M60" s="22"/>
      <c r="N60" s="22"/>
      <c r="O60" s="22"/>
      <c r="P60" s="22"/>
      <c r="Q60" s="22"/>
      <c r="R60" s="15"/>
      <c r="S60" s="15"/>
      <c r="T60" s="22"/>
      <c r="U60" s="22"/>
      <c r="V60" s="22"/>
      <c r="W60" s="22"/>
      <c r="X60" s="22"/>
      <c r="Y60" s="22"/>
      <c r="Z60" s="22"/>
      <c r="AA60" s="15"/>
      <c r="AB60" s="15"/>
      <c r="AC60" s="22"/>
      <c r="AD60" s="15"/>
      <c r="BU60" s="15"/>
    </row>
    <row r="61" spans="1:84" x14ac:dyDescent="0.25">
      <c r="A61" s="15"/>
      <c r="B61" s="22"/>
      <c r="C61" s="22"/>
      <c r="D61" s="22"/>
      <c r="E61" s="22"/>
      <c r="F61" s="22"/>
      <c r="G61" s="22"/>
      <c r="H61" s="22"/>
      <c r="I61" s="15"/>
      <c r="J61" s="15"/>
      <c r="K61" s="22"/>
      <c r="L61" s="22"/>
      <c r="M61" s="22"/>
      <c r="N61" s="22"/>
      <c r="O61" s="22"/>
      <c r="P61" s="22"/>
      <c r="Q61" s="22"/>
      <c r="R61" s="15"/>
      <c r="S61" s="15"/>
      <c r="T61" s="22"/>
      <c r="U61" s="22"/>
      <c r="V61" s="22"/>
      <c r="W61" s="22"/>
      <c r="X61" s="22"/>
      <c r="Y61" s="22"/>
      <c r="Z61" s="22"/>
      <c r="AA61" s="15"/>
      <c r="AB61" s="15"/>
      <c r="AC61" s="22"/>
      <c r="AD61" s="15"/>
      <c r="BU61" s="15" t="s">
        <v>11</v>
      </c>
      <c r="CB61" s="135">
        <v>1</v>
      </c>
      <c r="CC61" s="135">
        <v>1</v>
      </c>
      <c r="CD61" s="135">
        <v>1</v>
      </c>
      <c r="CE61" s="135">
        <v>1</v>
      </c>
      <c r="CF61" s="135">
        <v>1</v>
      </c>
    </row>
    <row r="62" spans="1:84" x14ac:dyDescent="0.25">
      <c r="A62" s="15"/>
      <c r="B62" s="22"/>
      <c r="C62" s="22"/>
      <c r="D62" s="22"/>
      <c r="E62" s="22"/>
      <c r="F62" s="22"/>
      <c r="G62" s="22"/>
      <c r="H62" s="22"/>
      <c r="I62" s="15"/>
      <c r="J62" s="15"/>
      <c r="K62" s="22"/>
      <c r="L62" s="22"/>
      <c r="M62" s="22"/>
      <c r="N62" s="22"/>
      <c r="O62" s="22"/>
      <c r="P62" s="22"/>
      <c r="Q62" s="22"/>
      <c r="R62" s="15"/>
      <c r="S62" s="15"/>
      <c r="T62" s="22"/>
      <c r="U62" s="22"/>
      <c r="V62" s="22"/>
      <c r="W62" s="22"/>
      <c r="X62" s="22"/>
      <c r="Y62" s="22"/>
      <c r="Z62" s="22"/>
      <c r="AA62" s="15"/>
      <c r="AB62" s="15"/>
      <c r="AC62" s="22"/>
      <c r="AD62" s="15"/>
      <c r="BU62" s="15" t="s">
        <v>12</v>
      </c>
      <c r="CB62" s="135">
        <v>1</v>
      </c>
      <c r="CC62" s="135">
        <v>1</v>
      </c>
      <c r="CD62" s="135">
        <v>1</v>
      </c>
      <c r="CE62" s="135">
        <v>1</v>
      </c>
      <c r="CF62" s="135">
        <v>1</v>
      </c>
    </row>
    <row r="63" spans="1:84" x14ac:dyDescent="0.25">
      <c r="A63" s="15"/>
      <c r="B63" s="22"/>
      <c r="C63" s="22"/>
      <c r="D63" s="22"/>
      <c r="E63" s="22"/>
      <c r="F63" s="22"/>
      <c r="G63" s="22"/>
      <c r="H63" s="22"/>
      <c r="I63" s="15"/>
      <c r="J63" s="15"/>
      <c r="K63" s="22"/>
      <c r="L63" s="22"/>
      <c r="M63" s="22"/>
      <c r="N63" s="22"/>
      <c r="O63" s="22"/>
      <c r="P63" s="22"/>
      <c r="Q63" s="22"/>
      <c r="R63" s="15"/>
      <c r="S63" s="15"/>
      <c r="T63" s="22"/>
      <c r="U63" s="22"/>
      <c r="V63" s="22"/>
      <c r="W63" s="22"/>
      <c r="X63" s="22"/>
      <c r="Y63" s="22"/>
      <c r="Z63" s="22"/>
      <c r="AA63" s="15"/>
      <c r="AB63" s="15"/>
      <c r="AC63" s="22"/>
      <c r="AD63" s="15"/>
      <c r="BU63" s="15" t="s">
        <v>13</v>
      </c>
      <c r="CB63" s="135">
        <v>1</v>
      </c>
      <c r="CC63" s="135">
        <v>1</v>
      </c>
      <c r="CD63" s="135">
        <v>1</v>
      </c>
      <c r="CE63" s="135">
        <v>1</v>
      </c>
      <c r="CF63" s="135">
        <v>1</v>
      </c>
    </row>
    <row r="64" spans="1:84" x14ac:dyDescent="0.25">
      <c r="A64" s="15"/>
      <c r="B64" s="22"/>
      <c r="C64" s="22"/>
      <c r="D64" s="22"/>
      <c r="E64" s="22"/>
      <c r="F64" s="22"/>
      <c r="G64" s="22"/>
      <c r="H64" s="22"/>
      <c r="I64" s="15"/>
      <c r="J64" s="15"/>
      <c r="K64" s="22"/>
      <c r="L64" s="22"/>
      <c r="M64" s="22"/>
      <c r="N64" s="22"/>
      <c r="O64" s="22"/>
      <c r="P64" s="22"/>
      <c r="Q64" s="22"/>
      <c r="R64" s="15"/>
      <c r="S64" s="15"/>
      <c r="T64" s="22"/>
      <c r="U64" s="22"/>
      <c r="V64" s="22"/>
      <c r="W64" s="22"/>
      <c r="X64" s="22"/>
      <c r="Y64" s="22"/>
      <c r="Z64" s="22"/>
      <c r="AA64" s="15"/>
      <c r="AB64" s="15"/>
      <c r="AC64" s="22"/>
      <c r="AD64" s="15"/>
      <c r="BU64" s="15"/>
    </row>
    <row r="65" spans="1:84" x14ac:dyDescent="0.25">
      <c r="A65" s="15"/>
      <c r="B65" s="22"/>
      <c r="C65" s="22"/>
      <c r="D65" s="22"/>
      <c r="E65" s="22"/>
      <c r="F65" s="22"/>
      <c r="G65" s="22"/>
      <c r="H65" s="22"/>
      <c r="I65" s="15"/>
      <c r="J65" s="15"/>
      <c r="K65" s="22"/>
      <c r="L65" s="22"/>
      <c r="M65" s="22"/>
      <c r="N65" s="22"/>
      <c r="O65" s="22"/>
      <c r="P65" s="22"/>
      <c r="Q65" s="22"/>
      <c r="R65" s="15"/>
      <c r="S65" s="15"/>
      <c r="T65" s="22"/>
      <c r="U65" s="22"/>
      <c r="V65" s="22"/>
      <c r="W65" s="22"/>
      <c r="X65" s="22"/>
      <c r="Y65" s="22"/>
      <c r="Z65" s="22"/>
      <c r="AA65" s="15"/>
      <c r="AB65" s="15"/>
      <c r="AC65" s="22"/>
      <c r="AD65" s="15"/>
      <c r="BU65" s="15" t="s">
        <v>62</v>
      </c>
      <c r="CB65" s="135">
        <v>1</v>
      </c>
      <c r="CC65" s="135">
        <v>1</v>
      </c>
      <c r="CD65" s="135">
        <v>1</v>
      </c>
      <c r="CE65" s="135">
        <v>1</v>
      </c>
      <c r="CF65" s="135">
        <v>1</v>
      </c>
    </row>
    <row r="66" spans="1:84" x14ac:dyDescent="0.25">
      <c r="A66" s="15"/>
      <c r="B66" s="22"/>
      <c r="C66" s="22"/>
      <c r="D66" s="22"/>
      <c r="E66" s="22"/>
      <c r="F66" s="22"/>
      <c r="G66" s="22"/>
      <c r="H66" s="22"/>
      <c r="I66" s="15"/>
      <c r="J66" s="15"/>
      <c r="K66" s="22"/>
      <c r="L66" s="22"/>
      <c r="M66" s="22"/>
      <c r="N66" s="22"/>
      <c r="O66" s="22"/>
      <c r="P66" s="22"/>
      <c r="Q66" s="22"/>
      <c r="R66" s="15"/>
      <c r="S66" s="15"/>
      <c r="T66" s="22"/>
      <c r="U66" s="22"/>
      <c r="V66" s="22"/>
      <c r="W66" s="22"/>
      <c r="X66" s="22"/>
      <c r="Y66" s="22"/>
      <c r="Z66" s="22"/>
      <c r="AA66" s="15"/>
      <c r="AB66" s="15"/>
      <c r="AC66" s="22"/>
      <c r="AD66" s="15"/>
      <c r="BU66" s="15" t="s">
        <v>61</v>
      </c>
      <c r="CB66" s="135">
        <v>1</v>
      </c>
      <c r="CC66" s="135">
        <v>1</v>
      </c>
      <c r="CD66" s="135">
        <v>1</v>
      </c>
      <c r="CE66" s="135">
        <v>1</v>
      </c>
      <c r="CF66" s="135">
        <v>1</v>
      </c>
    </row>
    <row r="67" spans="1:84" x14ac:dyDescent="0.25">
      <c r="A67" s="15"/>
      <c r="B67" s="22"/>
      <c r="C67" s="22"/>
      <c r="D67" s="22"/>
      <c r="E67" s="22"/>
      <c r="F67" s="22"/>
      <c r="G67" s="22"/>
      <c r="H67" s="22"/>
      <c r="I67" s="15"/>
      <c r="J67" s="15"/>
      <c r="K67" s="22"/>
      <c r="L67" s="22"/>
      <c r="M67" s="22"/>
      <c r="N67" s="22"/>
      <c r="O67" s="22"/>
      <c r="P67" s="22"/>
      <c r="Q67" s="22"/>
      <c r="R67" s="15"/>
      <c r="S67" s="15"/>
      <c r="T67" s="22"/>
      <c r="U67" s="22"/>
      <c r="V67" s="22"/>
      <c r="W67" s="22"/>
      <c r="X67" s="22"/>
      <c r="Y67" s="22"/>
      <c r="Z67" s="22"/>
      <c r="AA67" s="15"/>
      <c r="AB67" s="15"/>
      <c r="AC67" s="22"/>
      <c r="AD67" s="15"/>
    </row>
    <row r="68" spans="1:84" x14ac:dyDescent="0.25">
      <c r="A68" s="15"/>
      <c r="B68" s="22"/>
      <c r="C68" s="22"/>
      <c r="D68" s="22"/>
      <c r="E68" s="22"/>
      <c r="F68" s="22"/>
      <c r="G68" s="22"/>
      <c r="H68" s="22"/>
      <c r="I68" s="15"/>
      <c r="J68" s="15"/>
      <c r="K68" s="22"/>
      <c r="L68" s="22"/>
      <c r="M68" s="22"/>
      <c r="N68" s="22"/>
      <c r="O68" s="22"/>
      <c r="P68" s="22"/>
      <c r="Q68" s="22"/>
      <c r="R68" s="15"/>
      <c r="S68" s="15"/>
      <c r="T68" s="22"/>
      <c r="U68" s="22"/>
      <c r="V68" s="22"/>
      <c r="W68" s="22"/>
      <c r="X68" s="22"/>
      <c r="Y68" s="22"/>
      <c r="Z68" s="22"/>
      <c r="AA68" s="15"/>
      <c r="AB68" s="15"/>
      <c r="AC68" s="22"/>
      <c r="AD68" s="15"/>
    </row>
    <row r="69" spans="1:84" x14ac:dyDescent="0.25">
      <c r="A69" s="15"/>
      <c r="B69" s="22"/>
      <c r="C69" s="22"/>
      <c r="D69" s="22"/>
      <c r="E69" s="22"/>
      <c r="F69" s="22"/>
      <c r="G69" s="22"/>
      <c r="H69" s="22"/>
      <c r="I69" s="15"/>
      <c r="J69" s="15"/>
      <c r="K69" s="22"/>
      <c r="L69" s="22"/>
      <c r="M69" s="22"/>
      <c r="N69" s="22"/>
      <c r="O69" s="22"/>
      <c r="P69" s="22"/>
      <c r="Q69" s="22"/>
      <c r="R69" s="15"/>
      <c r="S69" s="15"/>
      <c r="T69" s="22"/>
      <c r="U69" s="22"/>
      <c r="V69" s="22"/>
      <c r="W69" s="22"/>
      <c r="X69" s="22"/>
      <c r="Y69" s="22"/>
      <c r="Z69" s="22"/>
      <c r="AA69" s="15"/>
      <c r="AB69" s="15"/>
      <c r="AC69" s="22"/>
      <c r="AD69" s="15"/>
    </row>
    <row r="70" spans="1:84" x14ac:dyDescent="0.25">
      <c r="A70" s="15"/>
      <c r="B70" s="22"/>
      <c r="C70" s="22"/>
      <c r="D70" s="22"/>
      <c r="E70" s="22"/>
      <c r="F70" s="22"/>
      <c r="G70" s="22"/>
      <c r="H70" s="22"/>
      <c r="I70" s="15"/>
      <c r="J70" s="15"/>
      <c r="K70" s="22"/>
      <c r="L70" s="22"/>
      <c r="M70" s="22"/>
      <c r="N70" s="22"/>
      <c r="O70" s="22"/>
      <c r="P70" s="22"/>
      <c r="Q70" s="22"/>
      <c r="R70" s="15"/>
      <c r="S70" s="15"/>
      <c r="T70" s="22"/>
      <c r="U70" s="22"/>
      <c r="V70" s="22"/>
      <c r="W70" s="22"/>
      <c r="X70" s="22"/>
      <c r="Y70" s="22"/>
      <c r="Z70" s="22"/>
      <c r="AA70" s="15"/>
      <c r="AB70" s="15"/>
      <c r="AC70" s="22"/>
      <c r="AD70" s="15"/>
    </row>
    <row r="71" spans="1:84" x14ac:dyDescent="0.25">
      <c r="A71" s="15"/>
      <c r="B71" s="22"/>
      <c r="C71" s="22"/>
      <c r="D71" s="22"/>
      <c r="E71" s="22"/>
      <c r="F71" s="22"/>
      <c r="G71" s="22"/>
      <c r="H71" s="22"/>
      <c r="I71" s="15"/>
      <c r="J71" s="15"/>
      <c r="K71" s="22"/>
      <c r="L71" s="22"/>
      <c r="M71" s="22"/>
      <c r="N71" s="22"/>
      <c r="O71" s="22"/>
      <c r="P71" s="22"/>
      <c r="Q71" s="22"/>
      <c r="R71" s="15"/>
      <c r="S71" s="15"/>
      <c r="T71" s="22"/>
      <c r="U71" s="22"/>
      <c r="V71" s="22"/>
      <c r="W71" s="22"/>
      <c r="X71" s="22"/>
      <c r="Y71" s="22"/>
      <c r="Z71" s="22"/>
      <c r="AA71" s="15"/>
      <c r="AB71" s="15"/>
      <c r="AC71" s="22"/>
      <c r="AD71" s="15"/>
    </row>
    <row r="72" spans="1:84" x14ac:dyDescent="0.25">
      <c r="A72" s="15"/>
      <c r="B72" s="22"/>
      <c r="C72" s="22"/>
      <c r="D72" s="22"/>
      <c r="E72" s="22"/>
      <c r="F72" s="22"/>
      <c r="G72" s="22"/>
      <c r="H72" s="22"/>
      <c r="I72" s="15"/>
      <c r="J72" s="15"/>
      <c r="K72" s="22"/>
      <c r="L72" s="22"/>
      <c r="M72" s="22"/>
      <c r="N72" s="22"/>
      <c r="O72" s="22"/>
      <c r="P72" s="22"/>
      <c r="Q72" s="22"/>
      <c r="R72" s="15"/>
      <c r="S72" s="15"/>
      <c r="T72" s="22"/>
      <c r="U72" s="22"/>
      <c r="V72" s="22"/>
      <c r="W72" s="22"/>
      <c r="X72" s="22"/>
      <c r="Y72" s="22"/>
      <c r="Z72" s="22"/>
      <c r="AA72" s="15"/>
      <c r="AB72" s="15"/>
      <c r="AC72" s="22"/>
      <c r="AD72" s="15"/>
    </row>
    <row r="73" spans="1:84" x14ac:dyDescent="0.25">
      <c r="A73" s="15"/>
      <c r="B73" s="22"/>
      <c r="C73" s="22"/>
      <c r="D73" s="22"/>
      <c r="E73" s="22"/>
      <c r="F73" s="22"/>
      <c r="G73" s="22"/>
      <c r="H73" s="22"/>
      <c r="I73" s="15"/>
      <c r="J73" s="15"/>
      <c r="K73" s="22"/>
      <c r="L73" s="22"/>
      <c r="M73" s="22"/>
      <c r="N73" s="22"/>
      <c r="O73" s="22"/>
      <c r="P73" s="22"/>
      <c r="Q73" s="22"/>
      <c r="R73" s="15"/>
      <c r="S73" s="15"/>
      <c r="T73" s="22"/>
      <c r="U73" s="22"/>
      <c r="V73" s="22"/>
      <c r="W73" s="22"/>
      <c r="X73" s="22"/>
      <c r="Y73" s="22"/>
      <c r="Z73" s="22"/>
      <c r="AA73" s="15"/>
      <c r="AB73" s="15"/>
      <c r="AC73" s="22"/>
      <c r="AD73" s="15"/>
    </row>
    <row r="74" spans="1:84" x14ac:dyDescent="0.25">
      <c r="A74" s="15"/>
      <c r="B74" s="22"/>
      <c r="C74" s="22"/>
      <c r="D74" s="22"/>
      <c r="E74" s="22"/>
      <c r="F74" s="22"/>
      <c r="G74" s="22"/>
      <c r="H74" s="22"/>
      <c r="I74" s="15"/>
      <c r="J74" s="15"/>
      <c r="K74" s="22"/>
      <c r="L74" s="22"/>
      <c r="M74" s="22"/>
      <c r="N74" s="22"/>
      <c r="O74" s="22"/>
      <c r="P74" s="22"/>
      <c r="Q74" s="22"/>
      <c r="R74" s="15"/>
      <c r="S74" s="15"/>
      <c r="T74" s="22"/>
      <c r="U74" s="22"/>
      <c r="V74" s="22"/>
      <c r="W74" s="22"/>
      <c r="X74" s="22"/>
      <c r="Y74" s="22"/>
      <c r="Z74" s="22"/>
      <c r="AA74" s="15"/>
      <c r="AB74" s="15"/>
      <c r="AC74" s="22"/>
      <c r="AD74" s="15"/>
      <c r="AE74" s="15"/>
      <c r="AF74" s="15"/>
      <c r="AG74" s="15"/>
      <c r="AH74" s="15"/>
      <c r="AI74" s="15"/>
      <c r="AJ74" s="15"/>
    </row>
    <row r="75" spans="1:84" x14ac:dyDescent="0.25">
      <c r="A75" s="15"/>
      <c r="B75" s="22"/>
      <c r="C75" s="22"/>
      <c r="D75" s="22"/>
      <c r="E75" s="22"/>
      <c r="F75" s="22"/>
      <c r="G75" s="22"/>
      <c r="H75" s="22"/>
      <c r="I75" s="15"/>
      <c r="J75" s="15"/>
      <c r="K75" s="22"/>
      <c r="L75" s="22"/>
      <c r="M75" s="22"/>
      <c r="N75" s="22"/>
      <c r="O75" s="22"/>
      <c r="P75" s="22"/>
      <c r="Q75" s="22"/>
      <c r="R75" s="15"/>
      <c r="S75" s="15"/>
      <c r="T75" s="22"/>
      <c r="U75" s="22"/>
      <c r="V75" s="22"/>
      <c r="W75" s="22"/>
      <c r="X75" s="22"/>
      <c r="Y75" s="22"/>
      <c r="Z75" s="22"/>
      <c r="AA75" s="15"/>
      <c r="AB75" s="15"/>
      <c r="AC75" s="22"/>
      <c r="AD75" s="15"/>
      <c r="AE75" s="15"/>
      <c r="AF75" s="15"/>
      <c r="AG75" s="15"/>
      <c r="AH75" s="15"/>
      <c r="AI75" s="15"/>
      <c r="AJ75" s="15"/>
    </row>
    <row r="76" spans="1:84" x14ac:dyDescent="0.25">
      <c r="A76" s="15"/>
      <c r="B76" s="15"/>
      <c r="C76" s="22"/>
      <c r="D76" s="22"/>
      <c r="E76" s="22"/>
      <c r="F76" s="22"/>
      <c r="G76" s="22"/>
      <c r="H76" s="22"/>
      <c r="I76" s="15"/>
      <c r="J76" s="15"/>
      <c r="K76" s="15"/>
      <c r="L76" s="22"/>
      <c r="M76" s="22"/>
      <c r="N76" s="22"/>
      <c r="O76" s="22"/>
      <c r="P76" s="22"/>
      <c r="Q76" s="22"/>
      <c r="R76" s="15"/>
      <c r="S76" s="15"/>
      <c r="T76" s="15"/>
      <c r="U76" s="22"/>
      <c r="V76" s="22"/>
      <c r="W76" s="22"/>
      <c r="X76" s="22"/>
      <c r="Y76" s="22"/>
      <c r="Z76" s="22"/>
      <c r="AA76" s="15"/>
      <c r="AB76" s="15"/>
      <c r="AC76" s="22"/>
      <c r="AD76" s="15"/>
      <c r="AE76" s="15"/>
      <c r="AF76" s="15"/>
      <c r="AG76" s="15"/>
      <c r="AH76" s="15"/>
      <c r="AI76" s="15"/>
      <c r="AJ76" s="15"/>
    </row>
    <row r="77" spans="1:84" x14ac:dyDescent="0.25">
      <c r="A77" s="15"/>
      <c r="B77" s="22"/>
      <c r="C77" s="22"/>
      <c r="D77" s="22"/>
      <c r="E77" s="22"/>
      <c r="F77" s="22"/>
      <c r="G77" s="22"/>
      <c r="H77" s="22"/>
      <c r="I77" s="15"/>
      <c r="J77" s="15"/>
      <c r="K77" s="22"/>
      <c r="L77" s="22"/>
      <c r="M77" s="22"/>
      <c r="N77" s="22"/>
      <c r="O77" s="22"/>
      <c r="P77" s="22"/>
      <c r="Q77" s="22"/>
      <c r="R77" s="15"/>
      <c r="S77" s="15"/>
      <c r="T77" s="22"/>
      <c r="U77" s="22"/>
      <c r="V77" s="22"/>
      <c r="W77" s="22"/>
      <c r="X77" s="22"/>
      <c r="Y77" s="22"/>
      <c r="Z77" s="22"/>
      <c r="AA77" s="15"/>
      <c r="AB77" s="15"/>
      <c r="AC77" s="22"/>
      <c r="AD77" s="15"/>
      <c r="AE77" s="15"/>
      <c r="AF77" s="15"/>
      <c r="AG77" s="15"/>
      <c r="AH77" s="15"/>
      <c r="AI77" s="15"/>
      <c r="AJ77" s="15"/>
    </row>
    <row r="78" spans="1:84" x14ac:dyDescent="0.25">
      <c r="A78" s="15"/>
      <c r="B78" s="22"/>
      <c r="C78" s="22"/>
      <c r="D78" s="22"/>
      <c r="E78" s="22"/>
      <c r="F78" s="22"/>
      <c r="G78" s="22"/>
      <c r="H78" s="22"/>
      <c r="I78" s="15"/>
      <c r="J78" s="15"/>
      <c r="K78" s="22"/>
      <c r="L78" s="22"/>
      <c r="M78" s="22"/>
      <c r="N78" s="22"/>
      <c r="O78" s="22"/>
      <c r="P78" s="22"/>
      <c r="Q78" s="22"/>
      <c r="R78" s="15"/>
      <c r="S78" s="15"/>
      <c r="T78" s="22"/>
      <c r="U78" s="22"/>
      <c r="V78" s="22"/>
      <c r="W78" s="22"/>
      <c r="X78" s="22"/>
      <c r="Y78" s="22"/>
      <c r="Z78" s="22"/>
      <c r="AA78" s="15"/>
      <c r="AB78" s="15"/>
      <c r="AC78" s="22"/>
      <c r="AD78" s="15"/>
      <c r="AE78" s="15"/>
      <c r="AF78" s="15"/>
      <c r="AG78" s="15"/>
      <c r="AH78" s="15"/>
      <c r="AI78" s="15"/>
      <c r="AJ78" s="15"/>
    </row>
    <row r="79" spans="1:84" x14ac:dyDescent="0.25">
      <c r="A79" s="15"/>
      <c r="B79" s="22"/>
      <c r="C79" s="22"/>
      <c r="D79" s="22"/>
      <c r="E79" s="22"/>
      <c r="F79" s="22"/>
      <c r="G79" s="22"/>
      <c r="H79" s="22"/>
      <c r="I79" s="15"/>
      <c r="J79" s="15"/>
      <c r="K79" s="22"/>
      <c r="L79" s="22"/>
      <c r="M79" s="22"/>
      <c r="N79" s="22"/>
      <c r="O79" s="22"/>
      <c r="P79" s="22"/>
      <c r="Q79" s="22"/>
      <c r="R79" s="15"/>
      <c r="S79" s="15"/>
      <c r="T79" s="22"/>
      <c r="U79" s="22"/>
      <c r="V79" s="22"/>
      <c r="W79" s="22"/>
      <c r="X79" s="22"/>
      <c r="Y79" s="22"/>
      <c r="Z79" s="22"/>
      <c r="AA79" s="15"/>
      <c r="AB79" s="15"/>
      <c r="AC79" s="22"/>
      <c r="AD79" s="15"/>
      <c r="AE79" s="15"/>
      <c r="AF79" s="15"/>
      <c r="AG79" s="15"/>
      <c r="AH79" s="15"/>
      <c r="AI79" s="15"/>
      <c r="AJ79" s="15"/>
    </row>
    <row r="80" spans="1:84" x14ac:dyDescent="0.25">
      <c r="A80" s="15"/>
      <c r="B80" s="22"/>
      <c r="C80" s="22"/>
      <c r="D80" s="22"/>
      <c r="E80" s="22"/>
      <c r="F80" s="22"/>
      <c r="G80" s="22"/>
      <c r="H80" s="22"/>
      <c r="I80" s="15"/>
      <c r="J80" s="15"/>
      <c r="K80" s="22"/>
      <c r="L80" s="22"/>
      <c r="M80" s="22"/>
      <c r="N80" s="22"/>
      <c r="O80" s="22"/>
      <c r="P80" s="22"/>
      <c r="Q80" s="22"/>
      <c r="R80" s="15"/>
      <c r="S80" s="15"/>
      <c r="T80" s="22"/>
      <c r="U80" s="22"/>
      <c r="V80" s="22"/>
      <c r="W80" s="22"/>
      <c r="X80" s="22"/>
      <c r="Y80" s="22"/>
      <c r="Z80" s="22"/>
      <c r="AA80" s="15"/>
      <c r="AB80" s="15"/>
      <c r="AC80" s="22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22"/>
      <c r="C81" s="22"/>
      <c r="D81" s="22"/>
      <c r="E81" s="22"/>
      <c r="F81" s="22"/>
      <c r="G81" s="22"/>
      <c r="H81" s="22"/>
      <c r="I81" s="15"/>
      <c r="J81" s="15"/>
      <c r="K81" s="22"/>
      <c r="L81" s="22"/>
      <c r="M81" s="22"/>
      <c r="N81" s="22"/>
      <c r="O81" s="22"/>
      <c r="P81" s="22"/>
      <c r="Q81" s="22"/>
      <c r="R81" s="15"/>
      <c r="S81" s="15"/>
      <c r="T81" s="22"/>
      <c r="U81" s="22"/>
      <c r="V81" s="22"/>
      <c r="W81" s="22"/>
      <c r="X81" s="22"/>
      <c r="Y81" s="22"/>
      <c r="Z81" s="22"/>
      <c r="AA81" s="15"/>
      <c r="AB81" s="15"/>
      <c r="AC81" s="22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22"/>
      <c r="C82" s="22"/>
      <c r="D82" s="22"/>
      <c r="E82" s="22"/>
      <c r="F82" s="22"/>
      <c r="G82" s="22"/>
      <c r="H82" s="22"/>
      <c r="I82" s="15"/>
      <c r="J82" s="15"/>
      <c r="K82" s="22"/>
      <c r="L82" s="22"/>
      <c r="M82" s="22"/>
      <c r="N82" s="22"/>
      <c r="O82" s="22"/>
      <c r="P82" s="22"/>
      <c r="Q82" s="22"/>
      <c r="R82" s="15"/>
      <c r="S82" s="15"/>
      <c r="T82" s="22"/>
      <c r="U82" s="22"/>
      <c r="V82" s="22"/>
      <c r="W82" s="22"/>
      <c r="X82" s="22"/>
      <c r="Y82" s="22"/>
      <c r="Z82" s="22"/>
      <c r="AA82" s="15"/>
      <c r="AB82" s="15"/>
      <c r="AC82" s="22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22"/>
      <c r="C83" s="22"/>
      <c r="D83" s="22"/>
      <c r="E83" s="22"/>
      <c r="F83" s="22"/>
      <c r="G83" s="22"/>
      <c r="H83" s="22"/>
      <c r="I83" s="15"/>
      <c r="J83" s="15"/>
      <c r="K83" s="22"/>
      <c r="L83" s="22"/>
      <c r="M83" s="22"/>
      <c r="N83" s="22"/>
      <c r="O83" s="22"/>
      <c r="P83" s="22"/>
      <c r="Q83" s="22"/>
      <c r="R83" s="15"/>
      <c r="S83" s="15"/>
      <c r="T83" s="22"/>
      <c r="U83" s="22"/>
      <c r="V83" s="22"/>
      <c r="W83" s="22"/>
      <c r="X83" s="22"/>
      <c r="Y83" s="22"/>
      <c r="Z83" s="22"/>
      <c r="AA83" s="15"/>
      <c r="AB83" s="15"/>
      <c r="AC83" s="22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22"/>
      <c r="C84" s="22"/>
      <c r="D84" s="22"/>
      <c r="E84" s="22"/>
      <c r="F84" s="22"/>
      <c r="G84" s="22"/>
      <c r="H84" s="22"/>
      <c r="I84" s="15"/>
      <c r="J84" s="15"/>
      <c r="K84" s="22"/>
      <c r="L84" s="22"/>
      <c r="M84" s="22"/>
      <c r="N84" s="22"/>
      <c r="O84" s="22"/>
      <c r="P84" s="22"/>
      <c r="Q84" s="22"/>
      <c r="R84" s="15"/>
      <c r="S84" s="15"/>
      <c r="T84" s="22"/>
      <c r="U84" s="22"/>
      <c r="V84" s="22"/>
      <c r="W84" s="22"/>
      <c r="X84" s="22"/>
      <c r="Y84" s="22"/>
      <c r="Z84" s="22"/>
      <c r="AA84" s="15"/>
      <c r="AB84" s="15"/>
      <c r="AC84" s="22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22"/>
      <c r="C85" s="22"/>
      <c r="D85" s="22"/>
      <c r="E85" s="22"/>
      <c r="F85" s="22"/>
      <c r="G85" s="22"/>
      <c r="H85" s="22"/>
      <c r="I85" s="15"/>
      <c r="J85" s="15"/>
      <c r="K85" s="22"/>
      <c r="L85" s="22"/>
      <c r="M85" s="22"/>
      <c r="N85" s="22"/>
      <c r="O85" s="22"/>
      <c r="P85" s="22"/>
      <c r="Q85" s="22"/>
      <c r="R85" s="15"/>
      <c r="S85" s="15"/>
      <c r="T85" s="22"/>
      <c r="U85" s="22"/>
      <c r="V85" s="22"/>
      <c r="W85" s="22"/>
      <c r="X85" s="22"/>
      <c r="Y85" s="22"/>
      <c r="Z85" s="22"/>
      <c r="AA85" s="15"/>
      <c r="AB85" s="15"/>
      <c r="AC85" s="22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A48"/>
  <sheetViews>
    <sheetView workbookViewId="0"/>
  </sheetViews>
  <sheetFormatPr defaultRowHeight="15" x14ac:dyDescent="0.25"/>
  <cols>
    <col min="1" max="1" width="37.140625" bestFit="1" customWidth="1"/>
    <col min="2" max="6" width="8.85546875" customWidth="1"/>
    <col min="7" max="7" width="0.85546875" customWidth="1"/>
    <col min="8" max="13" width="8.85546875" customWidth="1"/>
  </cols>
  <sheetData>
    <row r="1" spans="1:27" x14ac:dyDescent="0.25">
      <c r="A1" s="583" t="s">
        <v>338</v>
      </c>
      <c r="B1" s="102" t="s">
        <v>20</v>
      </c>
      <c r="C1" s="46"/>
      <c r="D1" s="46"/>
      <c r="E1" s="46"/>
      <c r="F1" s="46"/>
      <c r="G1" s="103"/>
      <c r="H1" s="45" t="s">
        <v>29</v>
      </c>
      <c r="I1" s="46"/>
      <c r="J1" s="46"/>
      <c r="K1" s="46"/>
      <c r="L1" s="104"/>
      <c r="M1" s="421"/>
      <c r="N1" s="421"/>
      <c r="O1" s="421"/>
      <c r="P1" s="421"/>
      <c r="Q1" s="422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0" customHeight="1" x14ac:dyDescent="0.25">
      <c r="A2" s="44" t="s">
        <v>24</v>
      </c>
      <c r="B2" s="68" t="s">
        <v>52</v>
      </c>
      <c r="C2" s="25"/>
      <c r="D2" s="26" t="s">
        <v>26</v>
      </c>
      <c r="E2" s="26"/>
      <c r="F2" s="28" t="s">
        <v>28</v>
      </c>
      <c r="G2" s="29"/>
      <c r="H2" s="25" t="s">
        <v>52</v>
      </c>
      <c r="I2" s="25"/>
      <c r="J2" s="26" t="s">
        <v>26</v>
      </c>
      <c r="K2" s="26"/>
      <c r="L2" s="27" t="s">
        <v>28</v>
      </c>
      <c r="M2" s="88"/>
      <c r="N2" s="88"/>
      <c r="O2" s="88"/>
      <c r="P2" s="88"/>
      <c r="Q2" s="111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44" t="s">
        <v>25</v>
      </c>
      <c r="B3" s="69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70" t="s">
        <v>27</v>
      </c>
      <c r="M3" s="88"/>
      <c r="N3" s="88"/>
      <c r="O3" s="88"/>
      <c r="P3" s="88"/>
      <c r="Q3" s="111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44" t="s">
        <v>19</v>
      </c>
      <c r="B4" s="7">
        <v>1</v>
      </c>
      <c r="C4" s="7">
        <v>1</v>
      </c>
      <c r="D4" s="8">
        <v>1</v>
      </c>
      <c r="E4" s="8">
        <v>1</v>
      </c>
      <c r="F4" s="9">
        <v>1</v>
      </c>
      <c r="G4" s="3"/>
      <c r="H4" s="7">
        <v>1</v>
      </c>
      <c r="I4" s="7">
        <v>1</v>
      </c>
      <c r="J4" s="8">
        <v>1</v>
      </c>
      <c r="K4" s="8">
        <v>1</v>
      </c>
      <c r="L4" s="9">
        <v>1</v>
      </c>
      <c r="M4" s="88"/>
      <c r="N4" s="88"/>
      <c r="O4" s="88"/>
      <c r="P4" s="88"/>
      <c r="Q4" s="111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5.0999999999999996" customHeight="1" x14ac:dyDescent="0.25">
      <c r="A5" s="18"/>
      <c r="B5" s="71"/>
      <c r="C5" s="19"/>
      <c r="D5" s="19"/>
      <c r="E5" s="19"/>
      <c r="F5" s="19"/>
      <c r="G5" s="2"/>
      <c r="H5" s="19"/>
      <c r="I5" s="19"/>
      <c r="J5" s="19"/>
      <c r="K5" s="19"/>
      <c r="L5" s="72"/>
      <c r="M5" s="88"/>
      <c r="N5" s="88"/>
      <c r="O5" s="88"/>
      <c r="P5" s="88"/>
      <c r="Q5" s="111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47" t="s">
        <v>304</v>
      </c>
      <c r="B6" s="406">
        <v>2.6</v>
      </c>
      <c r="C6" s="406">
        <v>2.6</v>
      </c>
      <c r="D6" s="406">
        <v>2.6</v>
      </c>
      <c r="E6" s="406">
        <v>2.6</v>
      </c>
      <c r="F6" s="406">
        <v>1.5</v>
      </c>
      <c r="G6" s="4"/>
      <c r="H6" s="406">
        <v>2.6</v>
      </c>
      <c r="I6" s="406">
        <v>2.6</v>
      </c>
      <c r="J6" s="406">
        <v>2.6</v>
      </c>
      <c r="K6" s="406">
        <v>2.6</v>
      </c>
      <c r="L6" s="406">
        <v>1.5</v>
      </c>
      <c r="M6" s="88"/>
      <c r="N6" s="88"/>
      <c r="O6" s="88"/>
      <c r="P6" s="88"/>
      <c r="Q6" s="111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305</v>
      </c>
      <c r="B7" s="24">
        <v>500</v>
      </c>
      <c r="C7" s="24">
        <v>500</v>
      </c>
      <c r="D7" s="24">
        <v>500</v>
      </c>
      <c r="E7" s="24">
        <v>500</v>
      </c>
      <c r="F7" s="24">
        <v>500</v>
      </c>
      <c r="G7" s="5"/>
      <c r="H7" s="24">
        <v>500</v>
      </c>
      <c r="I7" s="24">
        <v>500</v>
      </c>
      <c r="J7" s="24">
        <v>500</v>
      </c>
      <c r="K7" s="24">
        <v>500</v>
      </c>
      <c r="L7" s="24">
        <v>500</v>
      </c>
      <c r="M7" s="88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48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23">
        <v>0.75</v>
      </c>
      <c r="M8" s="88"/>
      <c r="N8" s="88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49"/>
      <c r="B9" s="73"/>
      <c r="C9" s="22"/>
      <c r="D9" s="22"/>
      <c r="E9" s="22"/>
      <c r="F9" s="22"/>
      <c r="G9" s="5"/>
      <c r="H9" s="22"/>
      <c r="I9" s="22"/>
      <c r="J9" s="22"/>
      <c r="K9" s="22"/>
      <c r="L9" s="74"/>
      <c r="M9" s="88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 x14ac:dyDescent="0.25">
      <c r="A10" s="50"/>
      <c r="B10" s="555"/>
      <c r="C10" s="554"/>
      <c r="D10" s="554"/>
      <c r="E10" s="554"/>
      <c r="F10" s="554"/>
      <c r="G10" s="5"/>
      <c r="H10" s="554"/>
      <c r="I10" s="554"/>
      <c r="J10" s="554"/>
      <c r="K10" s="554"/>
      <c r="L10" s="556"/>
      <c r="M10" s="88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" customHeight="1" x14ac:dyDescent="0.25">
      <c r="A11" s="49" t="s">
        <v>1</v>
      </c>
      <c r="B11" s="553">
        <v>100.05</v>
      </c>
      <c r="C11" s="553">
        <v>100.05</v>
      </c>
      <c r="D11" s="553">
        <v>100.05</v>
      </c>
      <c r="E11" s="553">
        <v>100.05</v>
      </c>
      <c r="F11" s="553">
        <v>100.05</v>
      </c>
      <c r="G11" s="5"/>
      <c r="H11" s="553">
        <v>100.05</v>
      </c>
      <c r="I11" s="553">
        <v>100.05</v>
      </c>
      <c r="J11" s="553">
        <v>100.05</v>
      </c>
      <c r="K11" s="553">
        <v>100.05</v>
      </c>
      <c r="L11" s="553">
        <v>100.05</v>
      </c>
      <c r="M11" s="88"/>
      <c r="N11" s="88"/>
      <c r="O11" s="88"/>
      <c r="P11" s="88"/>
      <c r="Q11" s="111"/>
      <c r="R11" s="407" t="s">
        <v>337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49" t="s">
        <v>2</v>
      </c>
      <c r="B12" s="553">
        <v>43.674999999999997</v>
      </c>
      <c r="C12" s="553">
        <v>43.674999999999997</v>
      </c>
      <c r="D12" s="553">
        <v>43.674999999999997</v>
      </c>
      <c r="E12" s="553">
        <v>43.674999999999997</v>
      </c>
      <c r="F12" s="553">
        <v>43.674999999999997</v>
      </c>
      <c r="G12" s="5"/>
      <c r="H12" s="553">
        <v>43.674999999999997</v>
      </c>
      <c r="I12" s="553">
        <v>43.674999999999997</v>
      </c>
      <c r="J12" s="553">
        <v>43.674999999999997</v>
      </c>
      <c r="K12" s="553">
        <v>43.674999999999997</v>
      </c>
      <c r="L12" s="553">
        <v>43.674999999999997</v>
      </c>
      <c r="M12" s="88"/>
      <c r="N12" s="88"/>
      <c r="O12" s="88"/>
      <c r="P12" s="88"/>
      <c r="Q12" s="111"/>
      <c r="R12" s="22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49" t="s">
        <v>3</v>
      </c>
      <c r="B13" s="553">
        <v>157.62460937499998</v>
      </c>
      <c r="C13" s="553">
        <v>157.62460937499998</v>
      </c>
      <c r="D13" s="553">
        <v>157.62460937499998</v>
      </c>
      <c r="E13" s="553">
        <v>157.62460937499998</v>
      </c>
      <c r="F13" s="553">
        <v>157.62460937499998</v>
      </c>
      <c r="G13" s="5"/>
      <c r="H13" s="553">
        <v>157.62460937499998</v>
      </c>
      <c r="I13" s="553">
        <v>157.62460937499998</v>
      </c>
      <c r="J13" s="553">
        <v>157.62460937499998</v>
      </c>
      <c r="K13" s="553">
        <v>157.62460937500001</v>
      </c>
      <c r="L13" s="553">
        <v>157.62460937499998</v>
      </c>
      <c r="M13" s="88"/>
      <c r="N13" s="88"/>
      <c r="O13" s="88"/>
      <c r="P13" s="88"/>
      <c r="Q13" s="111"/>
      <c r="R13" s="22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49" t="s">
        <v>4</v>
      </c>
      <c r="B14" s="553">
        <v>59.5</v>
      </c>
      <c r="C14" s="553">
        <v>59.5</v>
      </c>
      <c r="D14" s="553">
        <v>59.5</v>
      </c>
      <c r="E14" s="553">
        <v>59.5</v>
      </c>
      <c r="F14" s="553">
        <v>59.5</v>
      </c>
      <c r="G14" s="5"/>
      <c r="H14" s="553">
        <v>59.5</v>
      </c>
      <c r="I14" s="553">
        <v>59.5</v>
      </c>
      <c r="J14" s="553">
        <v>59.5</v>
      </c>
      <c r="K14" s="553">
        <v>59.5</v>
      </c>
      <c r="L14" s="553">
        <v>59.5</v>
      </c>
      <c r="M14" s="88"/>
      <c r="N14" s="88"/>
      <c r="O14" s="88"/>
      <c r="P14" s="88"/>
      <c r="Q14" s="111"/>
      <c r="R14" s="22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49" t="s">
        <v>301</v>
      </c>
      <c r="B15" s="553">
        <v>16.25</v>
      </c>
      <c r="C15" s="24">
        <v>16.25</v>
      </c>
      <c r="D15" s="24">
        <v>0</v>
      </c>
      <c r="E15" s="24">
        <v>0</v>
      </c>
      <c r="F15" s="24">
        <v>0</v>
      </c>
      <c r="G15" s="5"/>
      <c r="H15" s="553">
        <v>16.25</v>
      </c>
      <c r="I15" s="24">
        <v>16.25</v>
      </c>
      <c r="J15" s="24">
        <v>0</v>
      </c>
      <c r="K15" s="24">
        <v>0</v>
      </c>
      <c r="L15" s="24">
        <v>0</v>
      </c>
      <c r="M15" s="88"/>
      <c r="N15" s="88"/>
      <c r="O15" s="88"/>
      <c r="P15" s="88"/>
      <c r="Q15" s="111"/>
      <c r="R15" s="22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49" t="s">
        <v>157</v>
      </c>
      <c r="B16" s="553">
        <v>38.657265994801506</v>
      </c>
      <c r="C16" s="24">
        <v>38.659999999999997</v>
      </c>
      <c r="D16" s="553">
        <v>36.48220747343472</v>
      </c>
      <c r="E16" s="24">
        <v>36.479999999999997</v>
      </c>
      <c r="F16" s="553">
        <v>36.48220747343472</v>
      </c>
      <c r="G16" s="5"/>
      <c r="H16" s="553">
        <v>38.657265994801506</v>
      </c>
      <c r="I16" s="24">
        <v>38.659999999999997</v>
      </c>
      <c r="J16" s="24">
        <v>36.479999999999997</v>
      </c>
      <c r="K16" s="24">
        <v>36.479999999999997</v>
      </c>
      <c r="L16" s="553">
        <v>36.48220747343472</v>
      </c>
      <c r="M16" s="88"/>
      <c r="N16" s="88"/>
      <c r="O16" s="88"/>
      <c r="P16" s="88"/>
      <c r="Q16" s="111"/>
      <c r="R16" s="22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5">
      <c r="A17" s="49" t="s">
        <v>5</v>
      </c>
      <c r="B17" s="553">
        <v>39.686004210526313</v>
      </c>
      <c r="C17" s="24">
        <v>31.16</v>
      </c>
      <c r="D17" s="553">
        <v>60.283747368421054</v>
      </c>
      <c r="E17" s="24">
        <v>47.34</v>
      </c>
      <c r="F17" s="24">
        <v>0</v>
      </c>
      <c r="G17" s="5"/>
      <c r="H17" s="553">
        <v>39.686004210526313</v>
      </c>
      <c r="I17" s="24">
        <v>31.16</v>
      </c>
      <c r="J17" s="24">
        <v>60.28</v>
      </c>
      <c r="K17" s="24">
        <v>47.34</v>
      </c>
      <c r="L17" s="24">
        <v>0</v>
      </c>
      <c r="M17" s="88"/>
      <c r="N17" s="88"/>
      <c r="O17" s="88"/>
      <c r="P17" s="88"/>
      <c r="Q17" s="111"/>
      <c r="R17" s="22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49" t="s">
        <v>302</v>
      </c>
      <c r="B18" s="553">
        <v>10</v>
      </c>
      <c r="C18" s="24">
        <v>10</v>
      </c>
      <c r="D18" s="24">
        <v>10</v>
      </c>
      <c r="E18" s="24">
        <v>10</v>
      </c>
      <c r="F18" s="553">
        <v>10</v>
      </c>
      <c r="G18" s="5"/>
      <c r="H18" s="553">
        <v>10</v>
      </c>
      <c r="I18" s="24">
        <v>10</v>
      </c>
      <c r="J18" s="24">
        <v>10</v>
      </c>
      <c r="K18" s="24">
        <v>10</v>
      </c>
      <c r="L18" s="553">
        <v>10</v>
      </c>
      <c r="M18" s="88"/>
      <c r="N18" s="88"/>
      <c r="O18" s="88"/>
      <c r="P18" s="88"/>
      <c r="Q18" s="111"/>
      <c r="R18" s="22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49" t="s">
        <v>155</v>
      </c>
      <c r="B19" s="553">
        <v>22</v>
      </c>
      <c r="C19" s="24">
        <v>22</v>
      </c>
      <c r="D19" s="24">
        <v>22</v>
      </c>
      <c r="E19" s="24">
        <v>22</v>
      </c>
      <c r="F19" s="553">
        <v>20</v>
      </c>
      <c r="G19" s="5"/>
      <c r="H19" s="553">
        <v>22</v>
      </c>
      <c r="I19" s="24">
        <v>22</v>
      </c>
      <c r="J19" s="24">
        <v>22</v>
      </c>
      <c r="K19" s="24">
        <v>22</v>
      </c>
      <c r="L19" s="553">
        <v>20</v>
      </c>
      <c r="M19" s="88"/>
      <c r="N19" s="88"/>
      <c r="O19" s="88"/>
      <c r="P19" s="88"/>
      <c r="Q19" s="111"/>
      <c r="R19" s="22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9" t="s">
        <v>156</v>
      </c>
      <c r="B20" s="553">
        <v>29.233436276255816</v>
      </c>
      <c r="C20" s="24">
        <v>28.05</v>
      </c>
      <c r="D20" s="553">
        <v>35.824493473271723</v>
      </c>
      <c r="E20" s="24">
        <v>32.86</v>
      </c>
      <c r="F20" s="553">
        <v>25.372031934810185</v>
      </c>
      <c r="G20" s="5"/>
      <c r="H20" s="553">
        <v>27.583436276255814</v>
      </c>
      <c r="I20" s="24">
        <v>26.06</v>
      </c>
      <c r="J20" s="553">
        <v>28.67</v>
      </c>
      <c r="K20" s="24">
        <v>25.37</v>
      </c>
      <c r="L20" s="553">
        <v>25.372031934810185</v>
      </c>
      <c r="M20" s="88"/>
      <c r="N20" s="88"/>
      <c r="O20" s="88"/>
      <c r="P20" s="88"/>
      <c r="Q20" s="111"/>
      <c r="R20" s="22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9" t="s">
        <v>42</v>
      </c>
      <c r="B21" s="553">
        <v>25.576886579484029</v>
      </c>
      <c r="C21" s="24">
        <v>25.58</v>
      </c>
      <c r="D21" s="553">
        <v>23.54699715750268</v>
      </c>
      <c r="E21" s="24">
        <v>23.55</v>
      </c>
      <c r="F21" s="553">
        <v>22.15211715750268</v>
      </c>
      <c r="G21" s="5"/>
      <c r="H21" s="553">
        <v>25.576886579484029</v>
      </c>
      <c r="I21" s="24">
        <v>25.58</v>
      </c>
      <c r="J21" s="553">
        <v>23.54699715750268</v>
      </c>
      <c r="K21" s="24">
        <v>23.55</v>
      </c>
      <c r="L21" s="553">
        <v>22.15211715750268</v>
      </c>
      <c r="M21" s="88"/>
      <c r="N21" s="88"/>
      <c r="O21" s="88"/>
      <c r="P21" s="88"/>
      <c r="Q21" s="111"/>
      <c r="R21" s="22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49" t="s">
        <v>6</v>
      </c>
      <c r="B22" s="24">
        <v>24.4</v>
      </c>
      <c r="C22" s="24">
        <v>23.96</v>
      </c>
      <c r="D22" s="24">
        <v>24.7</v>
      </c>
      <c r="E22" s="24">
        <v>23.99</v>
      </c>
      <c r="F22" s="24">
        <v>21.37</v>
      </c>
      <c r="G22" s="5"/>
      <c r="H22" s="553">
        <v>24.327144109623045</v>
      </c>
      <c r="I22" s="24">
        <v>23.88</v>
      </c>
      <c r="J22" s="24">
        <v>24.38</v>
      </c>
      <c r="K22" s="24">
        <v>23.65</v>
      </c>
      <c r="L22" s="24">
        <v>21.37</v>
      </c>
      <c r="M22" s="88"/>
      <c r="N22" s="88"/>
      <c r="O22" s="88"/>
      <c r="P22" s="88"/>
      <c r="Q22" s="111"/>
      <c r="R22" s="22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49" t="s">
        <v>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5"/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88"/>
      <c r="N23" s="88"/>
      <c r="O23" s="88"/>
      <c r="P23" s="88"/>
      <c r="Q23" s="111"/>
      <c r="R23" s="22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49" t="s">
        <v>303</v>
      </c>
      <c r="B24" s="24">
        <v>78</v>
      </c>
      <c r="C24" s="24">
        <v>78</v>
      </c>
      <c r="D24" s="24">
        <v>78</v>
      </c>
      <c r="E24" s="24">
        <v>78</v>
      </c>
      <c r="F24" s="24">
        <v>45</v>
      </c>
      <c r="G24" s="5"/>
      <c r="H24" s="24">
        <v>78</v>
      </c>
      <c r="I24" s="24">
        <v>78</v>
      </c>
      <c r="J24" s="24">
        <v>78</v>
      </c>
      <c r="K24" s="24">
        <v>78</v>
      </c>
      <c r="L24" s="24">
        <v>45</v>
      </c>
      <c r="M24" s="88"/>
      <c r="N24" s="88"/>
      <c r="O24" s="88"/>
      <c r="P24" s="88"/>
      <c r="Q24" s="111"/>
      <c r="R24" s="22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49" t="s">
        <v>9</v>
      </c>
      <c r="B25" s="24">
        <v>15.73</v>
      </c>
      <c r="C25" s="24">
        <v>15.73</v>
      </c>
      <c r="D25" s="24">
        <v>15.73</v>
      </c>
      <c r="E25" s="24">
        <v>15.73</v>
      </c>
      <c r="F25" s="24">
        <v>9.08</v>
      </c>
      <c r="G25" s="5"/>
      <c r="H25" s="24">
        <v>15.73</v>
      </c>
      <c r="I25" s="24">
        <v>15.73</v>
      </c>
      <c r="J25" s="24">
        <v>15.73</v>
      </c>
      <c r="K25" s="24">
        <v>15.73</v>
      </c>
      <c r="L25" s="24">
        <v>9.08</v>
      </c>
      <c r="M25" s="88"/>
      <c r="N25" s="88"/>
      <c r="O25" s="88"/>
      <c r="P25" s="88"/>
      <c r="Q25" s="111"/>
      <c r="R25" s="22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49" t="s">
        <v>10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5"/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88"/>
      <c r="N26" s="88"/>
      <c r="O26" s="88"/>
      <c r="P26" s="88"/>
      <c r="Q26" s="111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5.0999999999999996" customHeight="1" x14ac:dyDescent="0.25">
      <c r="A27" s="16"/>
      <c r="B27" s="75"/>
      <c r="C27" s="17"/>
      <c r="D27" s="17"/>
      <c r="E27" s="17"/>
      <c r="F27" s="17"/>
      <c r="G27" s="5"/>
      <c r="H27" s="17"/>
      <c r="I27" s="17"/>
      <c r="J27" s="17"/>
      <c r="K27" s="17"/>
      <c r="L27" s="76"/>
      <c r="M27" s="94"/>
      <c r="N27" s="95"/>
      <c r="O27" s="95"/>
      <c r="P27" s="95"/>
      <c r="Q27" s="113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51" t="s">
        <v>11</v>
      </c>
      <c r="B28" s="24">
        <v>197.19</v>
      </c>
      <c r="C28" s="24">
        <v>197.19</v>
      </c>
      <c r="D28" s="24">
        <v>187.46</v>
      </c>
      <c r="E28" s="24">
        <v>187.46</v>
      </c>
      <c r="F28" s="24">
        <v>187.46</v>
      </c>
      <c r="G28" s="5"/>
      <c r="H28" s="24">
        <v>197.19</v>
      </c>
      <c r="I28" s="24">
        <v>197.19</v>
      </c>
      <c r="J28" s="24">
        <v>187.46</v>
      </c>
      <c r="K28" s="24">
        <v>187.46</v>
      </c>
      <c r="L28" s="24">
        <v>187.46</v>
      </c>
      <c r="M28" s="92"/>
      <c r="N28" s="86"/>
      <c r="O28" s="86"/>
      <c r="P28" s="86"/>
      <c r="Q28" s="110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51" t="s">
        <v>12</v>
      </c>
      <c r="B29" s="24">
        <v>28.14</v>
      </c>
      <c r="C29" s="24">
        <v>17.77</v>
      </c>
      <c r="D29" s="24">
        <v>105.52</v>
      </c>
      <c r="E29" s="24">
        <v>83.01</v>
      </c>
      <c r="F29" s="24">
        <v>0</v>
      </c>
      <c r="G29" s="5"/>
      <c r="H29" s="24">
        <v>10.37</v>
      </c>
      <c r="I29" s="24">
        <v>0</v>
      </c>
      <c r="J29" s="24">
        <v>22.51</v>
      </c>
      <c r="K29" s="24">
        <v>0</v>
      </c>
      <c r="L29" s="24">
        <v>0</v>
      </c>
      <c r="M29" s="87"/>
      <c r="N29" s="88"/>
      <c r="O29" s="88"/>
      <c r="P29" s="88"/>
      <c r="Q29" s="111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51" t="s">
        <v>13</v>
      </c>
      <c r="B30" s="24">
        <v>9.86</v>
      </c>
      <c r="C30" s="24">
        <v>9.86</v>
      </c>
      <c r="D30" s="24">
        <v>9.3699999999999992</v>
      </c>
      <c r="E30" s="24">
        <v>9.3699999999999992</v>
      </c>
      <c r="F30" s="24">
        <v>9.3699999999999992</v>
      </c>
      <c r="G30" s="56"/>
      <c r="H30" s="24">
        <v>9.86</v>
      </c>
      <c r="I30" s="24">
        <v>9.86</v>
      </c>
      <c r="J30" s="24">
        <v>9.3699999999999992</v>
      </c>
      <c r="K30" s="24">
        <v>9.3699999999999992</v>
      </c>
      <c r="L30" s="24">
        <v>9.3699999999999992</v>
      </c>
      <c r="M30" s="93"/>
      <c r="N30" s="90"/>
      <c r="O30" s="90"/>
      <c r="P30" s="90"/>
      <c r="Q30" s="112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5.0999999999999996" customHeight="1" x14ac:dyDescent="0.25">
      <c r="A31" s="114"/>
      <c r="B31" s="77"/>
      <c r="C31" s="78"/>
      <c r="D31" s="78"/>
      <c r="E31" s="78"/>
      <c r="F31" s="78"/>
      <c r="G31" s="56"/>
      <c r="H31" s="78"/>
      <c r="I31" s="78"/>
      <c r="J31" s="78"/>
      <c r="K31" s="78"/>
      <c r="L31" s="79"/>
      <c r="M31" s="94"/>
      <c r="N31" s="95"/>
      <c r="O31" s="95"/>
      <c r="P31" s="95"/>
      <c r="Q31" s="113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" customHeight="1" thickBot="1" x14ac:dyDescent="0.3">
      <c r="A32" s="44" t="s">
        <v>144</v>
      </c>
      <c r="B32" s="203">
        <v>810</v>
      </c>
      <c r="C32" s="203">
        <v>810</v>
      </c>
      <c r="D32" s="203">
        <v>810</v>
      </c>
      <c r="E32" s="203">
        <v>810</v>
      </c>
      <c r="F32" s="203">
        <v>810</v>
      </c>
      <c r="G32" s="43"/>
      <c r="H32" s="88"/>
      <c r="I32" s="88"/>
      <c r="J32" s="88"/>
      <c r="K32" s="88"/>
      <c r="L32" s="88"/>
      <c r="M32" s="98"/>
      <c r="N32" s="98"/>
      <c r="O32" s="98"/>
      <c r="P32" s="98"/>
      <c r="Q32" s="1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customHeight="1" x14ac:dyDescent="0.25">
      <c r="A33" s="398" t="s">
        <v>51</v>
      </c>
      <c r="B33" s="399">
        <f>(B4*B6*B7*B8)-B26</f>
        <v>1300</v>
      </c>
      <c r="C33" s="399">
        <f t="shared" ref="C33:F33" si="0">(C4*C6*C7*C8)-C26</f>
        <v>1300</v>
      </c>
      <c r="D33" s="399">
        <f t="shared" si="0"/>
        <v>1300</v>
      </c>
      <c r="E33" s="399">
        <f t="shared" si="0"/>
        <v>1300</v>
      </c>
      <c r="F33" s="399">
        <f t="shared" si="0"/>
        <v>750</v>
      </c>
      <c r="G33" s="400"/>
      <c r="H33" s="399">
        <f>(H4*H6*H7*H8)-H26</f>
        <v>975</v>
      </c>
      <c r="I33" s="399">
        <f t="shared" ref="I33:L33" si="1">(I4*I6*I7*I8)-I26</f>
        <v>975</v>
      </c>
      <c r="J33" s="399">
        <f t="shared" si="1"/>
        <v>975</v>
      </c>
      <c r="K33" s="399">
        <f t="shared" si="1"/>
        <v>975</v>
      </c>
      <c r="L33" s="399">
        <f t="shared" si="1"/>
        <v>562.5</v>
      </c>
      <c r="M33" s="115">
        <f t="shared" ref="M33:M38" si="2">SUM(B33:F33)+SUM(H33:L33)</f>
        <v>10412.5</v>
      </c>
      <c r="N33" s="98"/>
      <c r="O33" s="98"/>
      <c r="P33" s="98"/>
      <c r="Q33" s="1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" customHeight="1" x14ac:dyDescent="0.25">
      <c r="A34" s="391" t="s">
        <v>152</v>
      </c>
      <c r="B34" s="96">
        <f>B4*(SUM(B11:B17))</f>
        <v>455.44287958032783</v>
      </c>
      <c r="C34" s="96">
        <f t="shared" ref="C34:F34" si="3">C4*(SUM(C11:C17))</f>
        <v>446.91960937499999</v>
      </c>
      <c r="D34" s="96">
        <f t="shared" si="3"/>
        <v>457.61556421685577</v>
      </c>
      <c r="E34" s="96">
        <f t="shared" si="3"/>
        <v>444.66960937500005</v>
      </c>
      <c r="F34" s="96">
        <f t="shared" si="3"/>
        <v>397.3318168484347</v>
      </c>
      <c r="G34" s="3"/>
      <c r="H34" s="96">
        <f>H4*(SUM(H11:H17))</f>
        <v>455.44287958032783</v>
      </c>
      <c r="I34" s="96">
        <f t="shared" ref="I34:L34" si="4">I4*(SUM(I11:I17))</f>
        <v>446.91960937499999</v>
      </c>
      <c r="J34" s="96">
        <f t="shared" si="4"/>
        <v>457.60960937499999</v>
      </c>
      <c r="K34" s="96">
        <f t="shared" si="4"/>
        <v>444.66960937500005</v>
      </c>
      <c r="L34" s="96">
        <f t="shared" si="4"/>
        <v>397.3318168484347</v>
      </c>
      <c r="M34" s="115">
        <f t="shared" si="2"/>
        <v>4403.9530039493811</v>
      </c>
      <c r="N34" s="98"/>
      <c r="O34" s="98"/>
      <c r="P34" s="98"/>
      <c r="Q34" s="1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customHeight="1" x14ac:dyDescent="0.25">
      <c r="A35" s="391" t="s">
        <v>14</v>
      </c>
      <c r="B35" s="96">
        <f>B4*SUM(B11:B21)</f>
        <v>542.25320243606768</v>
      </c>
      <c r="C35" s="96">
        <f t="shared" ref="C35:F35" si="5">C4*SUM(C11:C21)</f>
        <v>532.54960937500005</v>
      </c>
      <c r="D35" s="96">
        <f t="shared" si="5"/>
        <v>548.98705484763013</v>
      </c>
      <c r="E35" s="96">
        <f t="shared" si="5"/>
        <v>533.07960937500002</v>
      </c>
      <c r="F35" s="96">
        <f t="shared" si="5"/>
        <v>474.85596594074758</v>
      </c>
      <c r="G35" s="3"/>
      <c r="H35" s="96">
        <f>H4*SUM(H11:H21)</f>
        <v>540.6032024360677</v>
      </c>
      <c r="I35" s="96">
        <f t="shared" ref="I35:L35" si="6">I4*SUM(I11:I21)</f>
        <v>530.55960937500004</v>
      </c>
      <c r="J35" s="96">
        <f t="shared" si="6"/>
        <v>541.82660653250264</v>
      </c>
      <c r="K35" s="96">
        <f t="shared" si="6"/>
        <v>525.58960937500001</v>
      </c>
      <c r="L35" s="96">
        <f t="shared" si="6"/>
        <v>474.85596594074758</v>
      </c>
      <c r="M35" s="115">
        <f t="shared" si="2"/>
        <v>5245.160435633763</v>
      </c>
      <c r="N35" s="98"/>
      <c r="O35" s="98"/>
      <c r="P35" s="98"/>
      <c r="Q35" s="1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" customHeight="1" x14ac:dyDescent="0.25">
      <c r="A36" s="391" t="s">
        <v>15</v>
      </c>
      <c r="B36" s="96">
        <f>B4*(SUM(B11:B21)+SUM(B22:B25))</f>
        <v>660.38320243606768</v>
      </c>
      <c r="C36" s="96">
        <f t="shared" ref="C36:F36" si="7">C4*(SUM(C11:C21)+SUM(C22:C25))</f>
        <v>650.2396093750001</v>
      </c>
      <c r="D36" s="96">
        <f t="shared" si="7"/>
        <v>667.4170548476302</v>
      </c>
      <c r="E36" s="96">
        <f t="shared" si="7"/>
        <v>650.79960937500005</v>
      </c>
      <c r="F36" s="96">
        <f t="shared" si="7"/>
        <v>550.30596594074757</v>
      </c>
      <c r="G36" s="3"/>
      <c r="H36" s="96">
        <f>H4*(SUM(H11:H21)+SUM(H22:H25))</f>
        <v>658.6603465456908</v>
      </c>
      <c r="I36" s="96">
        <f t="shared" ref="I36:L36" si="8">I4*(SUM(I11:I21)+SUM(I22:I25))</f>
        <v>648.16960937500005</v>
      </c>
      <c r="J36" s="96">
        <f t="shared" si="8"/>
        <v>659.93660653250265</v>
      </c>
      <c r="K36" s="96">
        <f t="shared" si="8"/>
        <v>642.969609375</v>
      </c>
      <c r="L36" s="96">
        <f t="shared" si="8"/>
        <v>550.30596594074757</v>
      </c>
      <c r="M36" s="115">
        <f t="shared" si="2"/>
        <v>6339.1875797433859</v>
      </c>
      <c r="N36" s="98"/>
      <c r="O36" s="98"/>
      <c r="P36" s="98"/>
      <c r="Q36" s="1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" customHeight="1" x14ac:dyDescent="0.25">
      <c r="A37" s="392" t="s">
        <v>16</v>
      </c>
      <c r="B37" s="96">
        <f>B4*SUM(B28:B30)</f>
        <v>235.19</v>
      </c>
      <c r="C37" s="96">
        <f t="shared" ref="C37:F37" si="9">C4*SUM(C28:C30)</f>
        <v>224.82</v>
      </c>
      <c r="D37" s="96">
        <f t="shared" si="9"/>
        <v>302.35000000000002</v>
      </c>
      <c r="E37" s="96">
        <f t="shared" si="9"/>
        <v>279.84000000000003</v>
      </c>
      <c r="F37" s="96">
        <f t="shared" si="9"/>
        <v>196.83</v>
      </c>
      <c r="G37" s="3"/>
      <c r="H37" s="96">
        <f>H4*SUM(H28:H30)</f>
        <v>217.42000000000002</v>
      </c>
      <c r="I37" s="96">
        <f t="shared" ref="I37:L37" si="10">I4*SUM(I28:I30)</f>
        <v>207.05</v>
      </c>
      <c r="J37" s="96">
        <f t="shared" si="10"/>
        <v>219.34</v>
      </c>
      <c r="K37" s="96">
        <f t="shared" si="10"/>
        <v>196.83</v>
      </c>
      <c r="L37" s="96">
        <f t="shared" si="10"/>
        <v>196.83</v>
      </c>
      <c r="M37" s="115">
        <f t="shared" si="2"/>
        <v>2276.5</v>
      </c>
      <c r="N37" s="98"/>
      <c r="O37" s="98"/>
      <c r="P37" s="98"/>
      <c r="Q37" s="1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" customHeight="1" x14ac:dyDescent="0.25">
      <c r="A38" s="393" t="s">
        <v>17</v>
      </c>
      <c r="B38" s="96">
        <f>SUM(B36:B37)</f>
        <v>895.57320243606773</v>
      </c>
      <c r="C38" s="96">
        <f t="shared" ref="C38:F38" si="11">SUM(C36:C37)</f>
        <v>875.05960937500004</v>
      </c>
      <c r="D38" s="96">
        <f t="shared" si="11"/>
        <v>969.76705484763022</v>
      </c>
      <c r="E38" s="96">
        <f t="shared" si="11"/>
        <v>930.63960937500008</v>
      </c>
      <c r="F38" s="96">
        <f t="shared" si="11"/>
        <v>747.13596594074761</v>
      </c>
      <c r="G38" s="3"/>
      <c r="H38" s="96">
        <f>SUM(H36:H37)</f>
        <v>876.08034654569087</v>
      </c>
      <c r="I38" s="96">
        <f t="shared" ref="I38:L38" si="12">SUM(I36:I37)</f>
        <v>855.21960937500012</v>
      </c>
      <c r="J38" s="96">
        <f t="shared" si="12"/>
        <v>879.27660653250268</v>
      </c>
      <c r="K38" s="96">
        <f t="shared" si="12"/>
        <v>839.79960937500005</v>
      </c>
      <c r="L38" s="96">
        <f t="shared" si="12"/>
        <v>747.13596594074761</v>
      </c>
      <c r="M38" s="115">
        <f t="shared" si="2"/>
        <v>8615.6875797433859</v>
      </c>
      <c r="N38" s="98"/>
      <c r="O38" s="98"/>
      <c r="P38" s="98"/>
      <c r="Q38" s="1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" customHeight="1" thickBot="1" x14ac:dyDescent="0.3">
      <c r="A39" s="394" t="s">
        <v>18</v>
      </c>
      <c r="B39" s="97">
        <f>(B4*B6*B7*B8)-B26-B38</f>
        <v>404.42679756393227</v>
      </c>
      <c r="C39" s="97">
        <f t="shared" ref="C39:F39" si="13">(C4*C6*C7*C8)-C26-C38</f>
        <v>424.94039062499996</v>
      </c>
      <c r="D39" s="97">
        <f t="shared" si="13"/>
        <v>330.23294515236978</v>
      </c>
      <c r="E39" s="97">
        <f t="shared" si="13"/>
        <v>369.36039062499992</v>
      </c>
      <c r="F39" s="97">
        <f t="shared" si="13"/>
        <v>2.8640340592523899</v>
      </c>
      <c r="G39" s="412"/>
      <c r="H39" s="97">
        <f>(H4*H6*H7*H8)-H26-H38</f>
        <v>98.919653454309127</v>
      </c>
      <c r="I39" s="97">
        <f t="shared" ref="I39:L39" si="14">(I4*I6*I7*I8)-I26-I38</f>
        <v>119.78039062499988</v>
      </c>
      <c r="J39" s="97">
        <f t="shared" si="14"/>
        <v>95.723393467497317</v>
      </c>
      <c r="K39" s="97">
        <f t="shared" si="14"/>
        <v>135.20039062499995</v>
      </c>
      <c r="L39" s="97">
        <f t="shared" si="14"/>
        <v>-184.63596594074761</v>
      </c>
      <c r="M39" s="99"/>
      <c r="N39" s="100"/>
      <c r="O39" s="100"/>
      <c r="P39" s="100"/>
      <c r="Q39" s="117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01"/>
      <c r="B40" s="395"/>
      <c r="C40" s="414"/>
      <c r="D40" s="414"/>
      <c r="E40" s="414"/>
      <c r="F40" s="414"/>
      <c r="G40" s="2"/>
      <c r="H40" s="395"/>
      <c r="I40" s="414"/>
      <c r="J40" s="414"/>
      <c r="K40" s="414"/>
      <c r="L40" s="414"/>
      <c r="M40" s="396"/>
      <c r="N40" s="59"/>
      <c r="O40" s="59"/>
      <c r="P40" s="59"/>
      <c r="Q40" s="4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01" t="s">
        <v>156</v>
      </c>
      <c r="B41" s="395">
        <f>B20*B4</f>
        <v>29.233436276255816</v>
      </c>
      <c r="C41" s="395">
        <f t="shared" ref="C41:F41" si="15">C20*C4</f>
        <v>28.05</v>
      </c>
      <c r="D41" s="395">
        <f t="shared" si="15"/>
        <v>35.824493473271723</v>
      </c>
      <c r="E41" s="395">
        <f t="shared" si="15"/>
        <v>32.86</v>
      </c>
      <c r="F41" s="395">
        <f t="shared" si="15"/>
        <v>25.372031934810185</v>
      </c>
      <c r="G41" s="2"/>
      <c r="H41" s="395">
        <f>H20*H4</f>
        <v>27.583436276255814</v>
      </c>
      <c r="I41" s="395">
        <f t="shared" ref="I41:L41" si="16">I20*I4</f>
        <v>26.06</v>
      </c>
      <c r="J41" s="395">
        <f t="shared" si="16"/>
        <v>28.67</v>
      </c>
      <c r="K41" s="395">
        <f t="shared" si="16"/>
        <v>25.37</v>
      </c>
      <c r="L41" s="395">
        <f t="shared" si="16"/>
        <v>25.372031934810185</v>
      </c>
      <c r="M41" s="396">
        <f>SUM(B41:F41)+SUM(H41:L41)</f>
        <v>284.39542989540371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01" t="s">
        <v>42</v>
      </c>
      <c r="B42" s="395">
        <f>B21*B4</f>
        <v>25.576886579484029</v>
      </c>
      <c r="C42" s="395">
        <f t="shared" ref="C42:F42" si="17">C21*C4</f>
        <v>25.58</v>
      </c>
      <c r="D42" s="395">
        <f t="shared" si="17"/>
        <v>23.54699715750268</v>
      </c>
      <c r="E42" s="395">
        <f t="shared" si="17"/>
        <v>23.55</v>
      </c>
      <c r="F42" s="395">
        <f t="shared" si="17"/>
        <v>22.15211715750268</v>
      </c>
      <c r="G42" s="2"/>
      <c r="H42" s="395">
        <f>H21*H4</f>
        <v>25.576886579484029</v>
      </c>
      <c r="I42" s="395">
        <f t="shared" ref="I42:L42" si="18">I21*I4</f>
        <v>25.58</v>
      </c>
      <c r="J42" s="395">
        <f t="shared" si="18"/>
        <v>23.54699715750268</v>
      </c>
      <c r="K42" s="395">
        <f t="shared" si="18"/>
        <v>23.55</v>
      </c>
      <c r="L42" s="395">
        <f t="shared" si="18"/>
        <v>22.15211715750268</v>
      </c>
      <c r="M42" s="396">
        <f>SUM(B42:F42)+SUM(H42:L42)</f>
        <v>240.81200178897876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417"/>
      <c r="B43" s="413"/>
      <c r="C43" s="413"/>
      <c r="D43" s="413"/>
      <c r="E43" s="413"/>
      <c r="F43" s="413"/>
      <c r="G43" s="179"/>
      <c r="H43" s="413"/>
      <c r="I43" s="413"/>
      <c r="J43" s="413"/>
      <c r="K43" s="413"/>
      <c r="L43" s="413"/>
      <c r="M43" s="413"/>
      <c r="N43" s="413"/>
      <c r="O43" s="413"/>
      <c r="P43" s="413"/>
      <c r="Q43" s="418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50"/>
  <sheetViews>
    <sheetView workbookViewId="0">
      <selection activeCell="B20" sqref="B20"/>
    </sheetView>
  </sheetViews>
  <sheetFormatPr defaultRowHeight="15" x14ac:dyDescent="0.25"/>
  <cols>
    <col min="1" max="1" width="19.7109375" customWidth="1"/>
    <col min="2" max="2" width="12.140625" bestFit="1" customWidth="1"/>
    <col min="3" max="9" width="8.85546875" customWidth="1"/>
    <col min="10" max="10" width="10.140625" bestFit="1" customWidth="1"/>
    <col min="11" max="11" width="2.7109375" customWidth="1"/>
  </cols>
  <sheetData>
    <row r="1" spans="1:31" x14ac:dyDescent="0.25">
      <c r="A1" s="65" t="s">
        <v>296</v>
      </c>
      <c r="B1" s="60"/>
      <c r="C1" s="60"/>
      <c r="D1" s="60"/>
      <c r="E1" s="60"/>
      <c r="F1" s="60"/>
      <c r="G1" s="60"/>
      <c r="H1" s="60"/>
      <c r="I1" s="60"/>
      <c r="J1" s="60"/>
      <c r="K1" s="1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x14ac:dyDescent="0.25">
      <c r="A2" s="57" t="s">
        <v>50</v>
      </c>
      <c r="B2" s="38">
        <f>Crop_Total!J4</f>
        <v>0</v>
      </c>
      <c r="C2" s="57"/>
      <c r="D2" s="57"/>
      <c r="E2" s="57"/>
      <c r="F2" s="57"/>
      <c r="G2" s="57"/>
      <c r="H2" s="57"/>
      <c r="I2" s="57"/>
      <c r="J2" s="57"/>
      <c r="K2" s="1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8" x14ac:dyDescent="0.25">
      <c r="A3" s="62" t="s">
        <v>160</v>
      </c>
      <c r="B3" s="38">
        <f>Crop_Total!J5</f>
        <v>0</v>
      </c>
      <c r="C3" s="57"/>
      <c r="D3" s="57"/>
      <c r="E3" s="57"/>
      <c r="F3" s="57"/>
      <c r="G3" s="57"/>
      <c r="H3" s="57"/>
      <c r="I3" s="57"/>
      <c r="J3" s="57"/>
      <c r="K3" s="1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1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x14ac:dyDescent="0.25">
      <c r="A5" s="62" t="s">
        <v>152</v>
      </c>
      <c r="B5" s="130">
        <f>(Crop_Total!J7-(Labor_Repairs!G7*(1+C27))+(Labor_Repairs!G8*(1+C27))-(Labor_Repairs!C7*(1+C27))+(Labor_Repairs!C8*(1+C27)))+(Capital_Costs!W88*(1+C27))</f>
        <v>0</v>
      </c>
      <c r="C5" s="57"/>
      <c r="D5" s="57"/>
      <c r="E5" s="57"/>
      <c r="F5" s="57"/>
      <c r="G5" s="57"/>
      <c r="H5" s="57"/>
      <c r="I5" s="57"/>
      <c r="J5" s="57"/>
      <c r="K5" s="1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13.9" customHeight="1" x14ac:dyDescent="0.25">
      <c r="A6" s="62" t="s">
        <v>14</v>
      </c>
      <c r="B6" s="130">
        <f>(Crop_Total!J8-(Labor_Repairs!G7*(1+C27))+(Labor_Repairs!G8*(1+C27))-(Labor_Repairs!C7*(1+C27))+(Labor_Repairs!C8*(1+C27)))+(Capital_Costs!W88*(1+C27))</f>
        <v>0</v>
      </c>
      <c r="C6" s="57" t="s">
        <v>291</v>
      </c>
      <c r="D6" s="57"/>
      <c r="E6" s="57"/>
      <c r="F6" s="57"/>
      <c r="G6" s="57"/>
      <c r="H6" s="57"/>
      <c r="I6" s="57"/>
      <c r="J6" s="57"/>
      <c r="K6" s="1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x14ac:dyDescent="0.25">
      <c r="A7" s="62" t="s">
        <v>15</v>
      </c>
      <c r="B7" s="130">
        <f>(Crop_Total!J9-(Labor_Repairs!G7*(1+C27))+(Labor_Repairs!G8*(1+C27))-(Labor_Repairs!C7*(1+C27))+(Labor_Repairs!C8*(1+C27)))+(Capital_Costs!W88*(1+C27))</f>
        <v>0</v>
      </c>
      <c r="C7" s="57" t="s">
        <v>292</v>
      </c>
      <c r="D7" s="57"/>
      <c r="E7" s="57"/>
      <c r="F7" s="57"/>
      <c r="G7" s="57"/>
      <c r="H7" s="57"/>
      <c r="I7" s="57"/>
      <c r="J7" s="57"/>
      <c r="K7" s="1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15" customHeight="1" x14ac:dyDescent="0.25">
      <c r="A8" s="63"/>
      <c r="B8" s="57"/>
      <c r="C8" s="57" t="s">
        <v>293</v>
      </c>
      <c r="D8" s="57"/>
      <c r="E8" s="57"/>
      <c r="F8" s="57"/>
      <c r="G8" s="57"/>
      <c r="H8" s="57"/>
      <c r="I8" s="57"/>
      <c r="J8" s="57"/>
      <c r="K8" s="1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30" x14ac:dyDescent="0.25">
      <c r="A9" s="64" t="s">
        <v>53</v>
      </c>
      <c r="B9" s="130">
        <f>Crop_Total!J5-(Crop_Total!J9-(Labor_Repairs!G7*(1+C27))+(Labor_Repairs!G8*(1+C27))-(Labor_Repairs!C7*(1+C27))+(Labor_Repairs!C8*(1+C27)))-(Capital_Costs!W88*(1+C27))</f>
        <v>0</v>
      </c>
      <c r="C9" s="57"/>
      <c r="D9" s="57"/>
      <c r="E9" s="57"/>
      <c r="F9" s="57"/>
      <c r="G9" s="57"/>
      <c r="H9" s="57"/>
      <c r="I9" s="57"/>
      <c r="J9" s="57"/>
      <c r="K9" s="1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9.9499999999999993" customHeight="1" x14ac:dyDescent="0.25">
      <c r="A10" s="63"/>
      <c r="B10" s="57"/>
      <c r="C10" s="57"/>
      <c r="D10" s="57"/>
      <c r="E10" s="57"/>
      <c r="F10" s="57"/>
      <c r="G10" s="57"/>
      <c r="H10" s="57"/>
      <c r="I10" s="57"/>
      <c r="J10" s="57"/>
      <c r="K10" s="1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30" x14ac:dyDescent="0.25">
      <c r="A11" s="66" t="s">
        <v>54</v>
      </c>
      <c r="B11" s="128">
        <f>C11</f>
        <v>0</v>
      </c>
      <c r="C11" s="130">
        <f>IF((Capital_Costs!K88+Capital_Costs!P88+Capital_Costs!T88)&gt;0,(Capital_Costs!K88+Capital_Costs!P88+Capital_Costs!T88),Corn!M37+Cotton!M37+Rice_LG!M37+Rice_MG!M37+Soybean!M37+Sorghum!M37+Wheat!M37+Peanut!M37)</f>
        <v>0</v>
      </c>
      <c r="D11" s="129" t="s">
        <v>161</v>
      </c>
      <c r="E11" s="593" t="s">
        <v>162</v>
      </c>
      <c r="F11" s="593"/>
      <c r="G11" s="593"/>
      <c r="H11" s="593"/>
      <c r="I11" s="593"/>
      <c r="J11" s="593"/>
      <c r="K11" s="1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5.0999999999999996" customHeight="1" x14ac:dyDescent="0.25">
      <c r="A12" s="63"/>
      <c r="B12" s="57"/>
      <c r="C12" s="57"/>
      <c r="D12" s="57"/>
      <c r="E12" s="57"/>
      <c r="F12" s="57"/>
      <c r="G12" s="57"/>
      <c r="H12" s="57"/>
      <c r="I12" s="57"/>
      <c r="J12" s="57"/>
      <c r="K12" s="1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15" customHeight="1" x14ac:dyDescent="0.25">
      <c r="A13" s="57" t="s">
        <v>145</v>
      </c>
      <c r="B13" s="40">
        <f>C13</f>
        <v>0</v>
      </c>
      <c r="C13" s="38">
        <f>Corn!M32+Cotton!M32+Rice_LG!M32+Rice_MG!M32+Soybean!M32+Sorghum!M32+Wheat!M32+Peanut!M32</f>
        <v>0</v>
      </c>
      <c r="D13" s="129" t="s">
        <v>177</v>
      </c>
      <c r="E13" s="38">
        <f>SUM(Corn!B4:F4)+SUM(Cotton!B4:F4)+SUM(Rice_LG!B4:F4)+SUM(Rice_MG!B4:F4)+SUM(Soybean!B4:F4)+SUM(Sorghum!B4:F4)+SUM(Wheat!B4:F4)+SUM(Peanut!B4:F4)</f>
        <v>0</v>
      </c>
      <c r="F13" s="57" t="s">
        <v>55</v>
      </c>
      <c r="G13" s="411"/>
      <c r="H13" s="410" t="s">
        <v>149</v>
      </c>
      <c r="I13" s="387">
        <v>46</v>
      </c>
      <c r="J13" s="57"/>
      <c r="K13" s="1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5.0999999999999996" customHeight="1" x14ac:dyDescent="0.25">
      <c r="A14" s="63"/>
      <c r="B14" s="57"/>
      <c r="C14" s="57"/>
      <c r="D14" s="57"/>
      <c r="E14" s="57"/>
      <c r="F14" s="57"/>
      <c r="G14" s="57"/>
      <c r="H14" s="57"/>
      <c r="I14" s="57"/>
      <c r="J14" s="57"/>
      <c r="K14" s="1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30" customHeight="1" x14ac:dyDescent="0.25">
      <c r="A15" s="64" t="s">
        <v>165</v>
      </c>
      <c r="B15" s="130">
        <f>Crop_Total!J5-(Crop_Total!J9-(Labor_Repairs!G7*(1+C27))+(Labor_Repairs!G8*(1+C27))-(Labor_Repairs!C7*(1+C27))+(Labor_Repairs!C8*(1+C27)))-(Capital_Costs!W88*(1+C27))-B11-B13</f>
        <v>0</v>
      </c>
      <c r="C15" s="57"/>
      <c r="D15" s="57"/>
      <c r="E15" s="57"/>
      <c r="F15" s="57"/>
      <c r="G15" s="57"/>
      <c r="H15" s="57"/>
      <c r="I15" s="57"/>
      <c r="J15" s="57"/>
      <c r="K15" s="1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9.9499999999999993" customHeight="1" x14ac:dyDescent="0.25">
      <c r="A16" s="63"/>
      <c r="B16" s="57"/>
      <c r="C16" s="57"/>
      <c r="D16" s="57"/>
      <c r="E16" s="57"/>
      <c r="F16" s="57"/>
      <c r="G16" s="57"/>
      <c r="H16" s="57"/>
      <c r="I16" s="57"/>
      <c r="J16" s="57"/>
      <c r="K16" s="1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15" customHeight="1" x14ac:dyDescent="0.25">
      <c r="A17" s="57" t="s">
        <v>56</v>
      </c>
      <c r="B17" s="567">
        <v>0</v>
      </c>
      <c r="C17" s="57" t="s">
        <v>335</v>
      </c>
      <c r="D17" s="57"/>
      <c r="E17" s="57"/>
      <c r="F17" s="57"/>
      <c r="G17" s="38"/>
      <c r="H17" s="57"/>
      <c r="I17" s="57"/>
      <c r="J17" s="57"/>
      <c r="K17" s="1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15" customHeight="1" x14ac:dyDescent="0.25">
      <c r="A18" s="57" t="s">
        <v>60</v>
      </c>
      <c r="B18" s="567">
        <v>0</v>
      </c>
      <c r="C18" s="38" t="s">
        <v>335</v>
      </c>
      <c r="D18" s="38"/>
      <c r="E18" s="38"/>
      <c r="F18" s="38"/>
      <c r="G18" s="38"/>
      <c r="H18" s="38"/>
      <c r="I18" s="38"/>
      <c r="J18" s="397"/>
      <c r="K18" s="1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9.9499999999999993" customHeight="1" x14ac:dyDescent="0.25">
      <c r="A19" s="63"/>
      <c r="B19" s="57"/>
      <c r="C19" s="57"/>
      <c r="D19" s="57"/>
      <c r="E19" s="57"/>
      <c r="F19" s="57"/>
      <c r="G19" s="57"/>
      <c r="H19" s="57"/>
      <c r="I19" s="57"/>
      <c r="J19" s="57"/>
      <c r="K19" s="1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27.6" customHeight="1" x14ac:dyDescent="0.25">
      <c r="A20" s="64" t="s">
        <v>189</v>
      </c>
      <c r="B20" s="568">
        <f>AVERAGE(59700)</f>
        <v>59700</v>
      </c>
      <c r="C20" s="551" t="s">
        <v>187</v>
      </c>
      <c r="D20" s="552"/>
      <c r="E20" s="129" t="s">
        <v>300</v>
      </c>
      <c r="F20" s="129"/>
      <c r="G20" s="129"/>
      <c r="H20" s="129"/>
      <c r="I20" s="57"/>
      <c r="J20" s="57"/>
      <c r="K20" s="19"/>
      <c r="L20" s="15"/>
      <c r="M20" s="31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9.9499999999999993" customHeight="1" x14ac:dyDescent="0.25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19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x14ac:dyDescent="0.25">
      <c r="A22" s="388" t="s">
        <v>40</v>
      </c>
      <c r="B22" s="569">
        <f>Crop_Total!J5-(Crop_Total!J9-(Labor_Repairs!G7*(1+C27))+(Labor_Repairs!G8*(1+C27))-(Labor_Repairs!C7*(1+C27))+(Labor_Repairs!C8*(1+C27)))-(Capital_Costs!W88*(1+C27))-B11-B13-B20+B17+B18</f>
        <v>-59700</v>
      </c>
      <c r="C22" s="57"/>
      <c r="D22" s="57"/>
      <c r="E22" s="57"/>
      <c r="F22" s="57"/>
      <c r="G22" s="57"/>
      <c r="H22" s="57"/>
      <c r="I22" s="57"/>
      <c r="J22" s="57"/>
      <c r="K22" s="1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ht="5.0999999999999996" customHeight="1" x14ac:dyDescent="0.25">
      <c r="A23" s="388"/>
      <c r="B23" s="38"/>
      <c r="C23" s="57"/>
      <c r="D23" s="57"/>
      <c r="E23" s="57"/>
      <c r="F23" s="57"/>
      <c r="G23" s="57"/>
      <c r="H23" s="57"/>
      <c r="I23" s="57"/>
      <c r="J23" s="57"/>
      <c r="K23" s="1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8" x14ac:dyDescent="0.25">
      <c r="A24" s="388" t="s">
        <v>163</v>
      </c>
      <c r="B24" s="38"/>
      <c r="C24" s="57"/>
      <c r="D24" s="57"/>
      <c r="E24" s="57"/>
      <c r="F24" s="57"/>
      <c r="G24" s="57"/>
      <c r="H24" s="57"/>
      <c r="I24" s="57"/>
      <c r="J24" s="57"/>
      <c r="K24" s="19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ht="4.9000000000000004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25">
      <c r="A26" s="120" t="s">
        <v>44</v>
      </c>
      <c r="B26" s="98"/>
      <c r="C26" s="98"/>
      <c r="D26" s="98"/>
      <c r="E26" s="98"/>
      <c r="F26" s="98"/>
      <c r="G26" s="98"/>
      <c r="H26" s="98"/>
      <c r="I26" s="98"/>
      <c r="J26" s="98"/>
      <c r="K26" s="1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ht="15" customHeight="1" x14ac:dyDescent="0.25">
      <c r="A27" s="98" t="s">
        <v>48</v>
      </c>
      <c r="B27" s="24">
        <v>9</v>
      </c>
      <c r="C27" s="531">
        <f>(B27/100)*B28</f>
        <v>4.4999999999999998E-2</v>
      </c>
      <c r="D27" s="98" t="s">
        <v>286</v>
      </c>
      <c r="E27" s="98"/>
      <c r="F27" s="98"/>
      <c r="G27" s="98"/>
      <c r="H27" s="98"/>
      <c r="I27" s="98"/>
      <c r="J27" s="98"/>
      <c r="K27" s="19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ht="30" x14ac:dyDescent="0.25">
      <c r="A28" s="121" t="s">
        <v>30</v>
      </c>
      <c r="B28" s="127">
        <v>0.5</v>
      </c>
      <c r="C28" s="98"/>
      <c r="D28" s="98"/>
      <c r="E28" s="98"/>
      <c r="F28" s="98"/>
      <c r="G28" s="98"/>
      <c r="H28" s="98"/>
      <c r="I28" s="98"/>
      <c r="J28" s="98"/>
      <c r="K28" s="19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25">
      <c r="A29" s="120"/>
      <c r="B29" s="98"/>
      <c r="C29" s="98"/>
      <c r="D29" s="98"/>
      <c r="E29" s="98"/>
      <c r="F29" s="98"/>
      <c r="G29" s="98"/>
      <c r="H29" s="98"/>
      <c r="I29" s="98"/>
      <c r="J29" s="98"/>
      <c r="K29" s="1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</sheetData>
  <mergeCells count="1">
    <mergeCell ref="E11:J11"/>
  </mergeCells>
  <hyperlinks>
    <hyperlink ref="C20" r:id="rId1" xr:uid="{00000000-0004-0000-0900-000000000000}"/>
  </hyperlinks>
  <pageMargins left="0.7" right="0.7" top="0.75" bottom="0.75" header="0.3" footer="0.3"/>
  <pageSetup orientation="landscape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9"/>
  <sheetViews>
    <sheetView workbookViewId="0">
      <selection activeCell="B5" sqref="B5"/>
    </sheetView>
  </sheetViews>
  <sheetFormatPr defaultRowHeight="15" x14ac:dyDescent="0.25"/>
  <cols>
    <col min="1" max="1" width="39.28515625" bestFit="1" customWidth="1"/>
    <col min="2" max="2" width="10.7109375" bestFit="1" customWidth="1"/>
    <col min="5" max="5" width="36.5703125" bestFit="1" customWidth="1"/>
    <col min="6" max="6" width="21.42578125" customWidth="1"/>
    <col min="8" max="8" width="39.28515625" bestFit="1" customWidth="1"/>
    <col min="9" max="9" width="10.42578125" bestFit="1" customWidth="1"/>
    <col min="16" max="16" width="40.28515625" bestFit="1" customWidth="1"/>
  </cols>
  <sheetData>
    <row r="1" spans="1:28" x14ac:dyDescent="0.25">
      <c r="A1" s="159"/>
      <c r="B1" s="159"/>
      <c r="C1" s="15"/>
      <c r="D1" s="40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x14ac:dyDescent="0.25">
      <c r="A2" s="63" t="s">
        <v>165</v>
      </c>
      <c r="B2" s="540">
        <f>'Farm Costs &amp; Returns'!B15</f>
        <v>0</v>
      </c>
      <c r="C2" s="15"/>
      <c r="D2" s="15"/>
      <c r="E2" s="15"/>
      <c r="F2" s="15"/>
      <c r="G2" s="15"/>
      <c r="H2" s="461" t="s">
        <v>165</v>
      </c>
      <c r="I2" s="409">
        <f>B2</f>
        <v>0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x14ac:dyDescent="0.25">
      <c r="A3" s="63" t="s">
        <v>166</v>
      </c>
      <c r="B3" s="540">
        <f>'Farm Costs &amp; Returns'!B17+'Farm Costs &amp; Returns'!B18</f>
        <v>0</v>
      </c>
      <c r="C3" s="15"/>
      <c r="D3" s="15"/>
      <c r="E3" s="15"/>
      <c r="F3" s="15"/>
      <c r="G3" s="15"/>
      <c r="H3" s="462" t="s">
        <v>191</v>
      </c>
      <c r="I3" s="408">
        <f>B3</f>
        <v>0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5">
      <c r="A4" s="63" t="s">
        <v>168</v>
      </c>
      <c r="B4" s="540" t="str">
        <f>IF(Capital_Costs!K88+Capital_Costs!P88+Capital_Costs!T88&gt;0,B18+B19,"NA")</f>
        <v>NA</v>
      </c>
      <c r="C4" s="15"/>
      <c r="D4" s="15"/>
      <c r="E4" s="15"/>
      <c r="F4" s="15"/>
      <c r="G4" s="15"/>
      <c r="H4" s="462" t="s">
        <v>192</v>
      </c>
      <c r="I4" s="408" t="str">
        <f>B4</f>
        <v>NA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x14ac:dyDescent="0.25">
      <c r="A5" s="63" t="s">
        <v>170</v>
      </c>
      <c r="B5" s="540" t="str">
        <f>IF(Capital_Costs!K88+Capital_Costs!P88+Capital_Costs!T88&gt;0,B2+B3+B4,"NA")</f>
        <v>NA</v>
      </c>
      <c r="C5" s="15"/>
      <c r="D5" s="15"/>
      <c r="E5" s="15"/>
      <c r="F5" s="15"/>
      <c r="G5" s="15"/>
      <c r="H5" s="462" t="s">
        <v>170</v>
      </c>
      <c r="I5" s="408" t="str">
        <f>B5</f>
        <v>NA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x14ac:dyDescent="0.25">
      <c r="A6" s="63"/>
      <c r="B6" s="63"/>
      <c r="C6" s="15"/>
      <c r="D6" s="15"/>
      <c r="E6" s="15"/>
      <c r="F6" s="15"/>
      <c r="G6" s="15"/>
      <c r="H6" s="462"/>
      <c r="I6" s="463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x14ac:dyDescent="0.25">
      <c r="A7" s="63" t="s">
        <v>170</v>
      </c>
      <c r="B7" s="540" t="str">
        <f>B5</f>
        <v>NA</v>
      </c>
      <c r="C7" s="15"/>
      <c r="D7" s="15"/>
      <c r="E7" s="15"/>
      <c r="F7" s="15"/>
      <c r="G7" s="15"/>
      <c r="H7" s="462" t="s">
        <v>170</v>
      </c>
      <c r="I7" s="408" t="str">
        <f>B7</f>
        <v>NA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x14ac:dyDescent="0.25">
      <c r="A8" s="63" t="s">
        <v>180</v>
      </c>
      <c r="B8" s="540">
        <f>'Farm Costs &amp; Returns'!B20</f>
        <v>59700</v>
      </c>
      <c r="C8" s="15"/>
      <c r="D8" s="15"/>
      <c r="F8" s="15"/>
      <c r="G8" s="15"/>
      <c r="H8" s="462" t="s">
        <v>180</v>
      </c>
      <c r="I8" s="408">
        <f>B8</f>
        <v>59700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x14ac:dyDescent="0.25">
      <c r="A9" s="63" t="s">
        <v>173</v>
      </c>
      <c r="B9" s="540" t="str">
        <f>IF(Capital_Costs!K88+Capital_Costs!P88+Capital_Costs!T88&gt;0,B7-B8,"NA")</f>
        <v>NA</v>
      </c>
      <c r="C9" s="15"/>
      <c r="D9" s="15"/>
      <c r="E9" s="15"/>
      <c r="F9" s="15"/>
      <c r="G9" s="15"/>
      <c r="H9" s="462" t="s">
        <v>190</v>
      </c>
      <c r="I9" s="408" t="str">
        <f>B9</f>
        <v>NA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x14ac:dyDescent="0.25">
      <c r="A10" s="63"/>
      <c r="B10" s="538"/>
      <c r="C10" s="405"/>
      <c r="D10" s="405"/>
      <c r="E10" s="15"/>
      <c r="F10" s="15"/>
      <c r="G10" s="15"/>
      <c r="H10" s="71"/>
      <c r="I10" s="7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x14ac:dyDescent="0.25">
      <c r="A11" s="63" t="s">
        <v>167</v>
      </c>
      <c r="B11" s="460">
        <f>IF(Capital_Costs!N88&gt;0,Capital_Costs!N88,0)</f>
        <v>0</v>
      </c>
      <c r="C11" s="405"/>
      <c r="D11" s="405"/>
      <c r="E11" s="15"/>
      <c r="F11" s="15"/>
      <c r="G11" s="15"/>
      <c r="H11" s="462" t="s">
        <v>167</v>
      </c>
      <c r="I11" s="40">
        <f>B11</f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15" customHeight="1" x14ac:dyDescent="0.25">
      <c r="A12" s="63" t="s">
        <v>169</v>
      </c>
      <c r="B12" s="566">
        <v>4500</v>
      </c>
      <c r="C12" s="405"/>
      <c r="D12" s="405"/>
      <c r="E12" s="15"/>
      <c r="F12" s="15"/>
      <c r="G12" s="15"/>
      <c r="H12" s="462" t="s">
        <v>169</v>
      </c>
      <c r="I12" s="567">
        <f>B12</f>
        <v>4500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15" customHeight="1" x14ac:dyDescent="0.25">
      <c r="A13" s="63" t="s">
        <v>171</v>
      </c>
      <c r="B13" s="539">
        <f>'Farm Costs &amp; Returns'!E13*B12</f>
        <v>0</v>
      </c>
      <c r="C13" s="405"/>
      <c r="D13" s="405"/>
      <c r="E13" s="15"/>
      <c r="F13" s="15"/>
      <c r="G13" s="15"/>
      <c r="H13" s="462" t="s">
        <v>171</v>
      </c>
      <c r="I13" s="408">
        <f>B13</f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5">
      <c r="A14" s="63" t="s">
        <v>172</v>
      </c>
      <c r="B14" s="539" t="str">
        <f>IF(B11&gt;0,B11+B13,"NA")</f>
        <v>NA</v>
      </c>
      <c r="C14" s="405"/>
      <c r="D14" s="405"/>
      <c r="F14" s="15"/>
      <c r="G14" s="15"/>
      <c r="H14" s="462" t="s">
        <v>172</v>
      </c>
      <c r="I14" s="408" t="str">
        <f>B14</f>
        <v>NA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15" customHeight="1" x14ac:dyDescent="0.25">
      <c r="A15" s="63"/>
      <c r="B15" s="63"/>
      <c r="C15" s="405"/>
      <c r="D15" s="405"/>
      <c r="E15" s="541"/>
      <c r="F15" s="541"/>
      <c r="G15" s="15"/>
      <c r="H15" s="71"/>
      <c r="I15" s="7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15" customHeight="1" x14ac:dyDescent="0.25">
      <c r="A16" s="542" t="s">
        <v>175</v>
      </c>
      <c r="B16" s="543" t="str">
        <f>IF(B11&gt;0,B9/B14,"NA")</f>
        <v>NA</v>
      </c>
      <c r="C16" s="405"/>
      <c r="D16" s="15"/>
      <c r="E16" s="541"/>
      <c r="F16" s="541"/>
      <c r="G16" s="15"/>
      <c r="H16" s="464" t="s">
        <v>175</v>
      </c>
      <c r="I16" s="465" t="str">
        <f>B16</f>
        <v>NA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15" customHeight="1" x14ac:dyDescent="0.25">
      <c r="A17" s="57"/>
      <c r="B17" s="57"/>
      <c r="C17" s="405"/>
      <c r="D17" s="15"/>
      <c r="E17" s="541"/>
      <c r="F17" s="541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15" customHeight="1" x14ac:dyDescent="0.25">
      <c r="A18" s="544" t="s">
        <v>44</v>
      </c>
      <c r="B18" s="540">
        <f>(Cotton!M45+Corn!M45+Soybean!M45+Rice_LG!M45+Rice_MG!M45+Wheat!M45+Sorghum!M45+Peanut!M45)-(Labor_Repairs!G7*C30)+(Labor_Repairs!G8*C30)-(Labor_Repairs!C7*C30)+(Labor_Repairs!C8*C30)+(Capital_Costs!W88*'Farm Costs &amp; Returns'!C27)</f>
        <v>0</v>
      </c>
      <c r="C18" s="405"/>
      <c r="D18" s="15"/>
      <c r="E18" s="541"/>
      <c r="F18" s="541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5">
      <c r="A19" s="544" t="s">
        <v>174</v>
      </c>
      <c r="B19" s="540" t="str">
        <f>IF(Capital_Costs!M88&gt;0,Capital_Costs!M88,"NA")</f>
        <v>NA</v>
      </c>
      <c r="C19" s="407"/>
      <c r="D19" s="15"/>
      <c r="E19" s="447" t="s">
        <v>299</v>
      </c>
      <c r="F19" s="541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15" customHeight="1" x14ac:dyDescent="0.25">
      <c r="A20" s="544" t="s">
        <v>176</v>
      </c>
      <c r="B20" s="540" t="str">
        <f>IF(Capital_Costs!T88&gt;0,Capital_Costs!T88,"NA")</f>
        <v>NA</v>
      </c>
      <c r="C20" s="405"/>
      <c r="D20" s="15"/>
      <c r="E20" s="541"/>
      <c r="F20" s="541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15" customHeight="1" x14ac:dyDescent="0.25">
      <c r="A21" s="544" t="s">
        <v>145</v>
      </c>
      <c r="B21" s="540">
        <f>'Farm Costs &amp; Returns'!B13</f>
        <v>0</v>
      </c>
      <c r="C21" s="405"/>
      <c r="D21" s="15"/>
      <c r="E21" s="447" t="s">
        <v>187</v>
      </c>
      <c r="F21" s="541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5" customHeight="1" x14ac:dyDescent="0.25">
      <c r="A22" s="15"/>
      <c r="B22" s="15"/>
      <c r="C22" s="405"/>
      <c r="D22" s="15"/>
      <c r="E22" s="541"/>
      <c r="F22" s="541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x14ac:dyDescent="0.25">
      <c r="A23" s="15"/>
      <c r="B23" s="15"/>
      <c r="C23" s="15"/>
      <c r="D23" s="15"/>
      <c r="E23" s="454" t="s">
        <v>188</v>
      </c>
      <c r="F23" s="45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15" customHeight="1" x14ac:dyDescent="0.25">
      <c r="A24" s="15"/>
      <c r="B24" s="15"/>
      <c r="C24" s="15"/>
      <c r="D24" s="15"/>
      <c r="E24" s="456" t="s">
        <v>298</v>
      </c>
      <c r="F24" s="457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x14ac:dyDescent="0.25">
      <c r="A25" s="15"/>
      <c r="B25" s="15"/>
      <c r="C25" s="15"/>
      <c r="D25" s="15"/>
      <c r="E25" s="448" t="s">
        <v>181</v>
      </c>
      <c r="F25" s="448" t="s">
        <v>182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28.5" x14ac:dyDescent="0.25">
      <c r="A26" s="15"/>
      <c r="B26" s="15"/>
      <c r="C26" s="15"/>
      <c r="D26" s="15"/>
      <c r="E26" s="449" t="s">
        <v>183</v>
      </c>
      <c r="F26" s="565">
        <v>59700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x14ac:dyDescent="0.25">
      <c r="A27" s="15"/>
      <c r="B27" s="15"/>
      <c r="C27" s="15"/>
      <c r="D27" s="15"/>
      <c r="E27" s="458" t="s">
        <v>184</v>
      </c>
      <c r="F27" s="459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45" x14ac:dyDescent="0.25">
      <c r="A28" s="15"/>
      <c r="B28" s="15"/>
      <c r="C28" s="15"/>
      <c r="D28" s="15"/>
      <c r="E28" s="452" t="s">
        <v>185</v>
      </c>
      <c r="F28" s="453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45" x14ac:dyDescent="0.25">
      <c r="A29" s="15"/>
      <c r="B29" s="15"/>
      <c r="C29" s="15"/>
      <c r="D29" s="15"/>
      <c r="E29" s="458" t="s">
        <v>186</v>
      </c>
      <c r="F29" s="459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x14ac:dyDescent="0.25">
      <c r="A30" s="15"/>
      <c r="B30" s="15"/>
      <c r="C30" s="15"/>
      <c r="D30" s="15"/>
      <c r="E30" s="450"/>
      <c r="F30" s="451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x14ac:dyDescent="0.25">
      <c r="A31" s="15"/>
      <c r="B31" s="15"/>
      <c r="C31" s="15"/>
      <c r="D31" s="15"/>
      <c r="E31" s="452" t="s">
        <v>297</v>
      </c>
      <c r="F31" s="453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</sheetData>
  <hyperlinks>
    <hyperlink ref="E19" r:id="rId1" xr:uid="{00000000-0004-0000-0800-000000000000}"/>
    <hyperlink ref="E21" r:id="rId2" xr:uid="{00000000-0004-0000-0800-000001000000}"/>
  </hyperlinks>
  <pageMargins left="0.7" right="0.7" top="0.75" bottom="0.75" header="0.3" footer="0.3"/>
  <pageSetup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01"/>
  <sheetViews>
    <sheetView workbookViewId="0">
      <selection activeCell="D2" sqref="D2"/>
    </sheetView>
  </sheetViews>
  <sheetFormatPr defaultRowHeight="15" x14ac:dyDescent="0.25"/>
  <cols>
    <col min="1" max="1" width="26" customWidth="1"/>
    <col min="2" max="3" width="7.85546875" customWidth="1"/>
    <col min="4" max="4" width="9" customWidth="1"/>
    <col min="5" max="5" width="7.85546875" customWidth="1"/>
    <col min="6" max="7" width="11.28515625" customWidth="1"/>
    <col min="8" max="9" width="7.85546875" customWidth="1"/>
  </cols>
  <sheetData>
    <row r="1" spans="1:26" ht="51.95" customHeight="1" x14ac:dyDescent="0.25">
      <c r="A1" s="495" t="s">
        <v>245</v>
      </c>
      <c r="B1" s="497" t="s">
        <v>264</v>
      </c>
      <c r="C1" s="508" t="s">
        <v>265</v>
      </c>
      <c r="D1" s="497" t="s">
        <v>336</v>
      </c>
      <c r="E1" s="497" t="s">
        <v>266</v>
      </c>
      <c r="F1" s="497" t="s">
        <v>268</v>
      </c>
      <c r="G1" s="497" t="s">
        <v>295</v>
      </c>
      <c r="H1" s="505"/>
      <c r="I1" s="505"/>
      <c r="J1" s="505"/>
      <c r="K1" s="505"/>
      <c r="L1" s="505"/>
      <c r="M1" s="523"/>
      <c r="N1" s="523"/>
      <c r="O1" s="523"/>
      <c r="P1" s="523"/>
      <c r="Q1" s="523"/>
      <c r="R1" s="523"/>
      <c r="S1" s="523"/>
      <c r="T1" s="15"/>
      <c r="U1" s="15"/>
      <c r="V1" s="15"/>
      <c r="W1" s="15"/>
      <c r="X1" s="15"/>
      <c r="Y1" s="15"/>
      <c r="Z1" s="15"/>
    </row>
    <row r="2" spans="1:26" ht="12.95" customHeight="1" x14ac:dyDescent="0.25">
      <c r="A2" s="470" t="s">
        <v>270</v>
      </c>
      <c r="B2" s="486">
        <v>2000</v>
      </c>
      <c r="C2" s="570">
        <v>14.53</v>
      </c>
      <c r="D2" s="486">
        <v>0</v>
      </c>
      <c r="E2" s="506">
        <f>B2*C2*D2</f>
        <v>0</v>
      </c>
      <c r="F2" s="498">
        <v>0</v>
      </c>
      <c r="G2" s="506">
        <f>E2*F2</f>
        <v>0</v>
      </c>
      <c r="H2" s="500"/>
      <c r="I2" s="501"/>
      <c r="J2" s="501"/>
      <c r="K2" s="501"/>
      <c r="L2" s="501"/>
      <c r="M2" s="522"/>
      <c r="N2" s="504"/>
      <c r="O2" s="522"/>
      <c r="P2" s="504"/>
      <c r="Q2" s="522"/>
      <c r="R2" s="510"/>
      <c r="S2" s="511"/>
      <c r="T2" s="15"/>
      <c r="U2" s="15"/>
      <c r="V2" s="15"/>
      <c r="W2" s="15"/>
      <c r="X2" s="15"/>
      <c r="Y2" s="15"/>
      <c r="Z2" s="15"/>
    </row>
    <row r="3" spans="1:26" ht="12.95" customHeight="1" x14ac:dyDescent="0.25">
      <c r="A3" s="470" t="s">
        <v>271</v>
      </c>
      <c r="B3" s="486">
        <v>2000</v>
      </c>
      <c r="C3" s="570">
        <v>14.53</v>
      </c>
      <c r="D3" s="486">
        <v>0</v>
      </c>
      <c r="E3" s="506">
        <f t="shared" ref="E3:E5" si="0">B3*C3*D3</f>
        <v>0</v>
      </c>
      <c r="F3" s="498">
        <v>0</v>
      </c>
      <c r="G3" s="506">
        <f t="shared" ref="G3:G5" si="1">E3*F3</f>
        <v>0</v>
      </c>
      <c r="H3" s="500"/>
      <c r="I3" s="501"/>
      <c r="J3" s="501"/>
      <c r="K3" s="501"/>
      <c r="L3" s="501"/>
      <c r="M3" s="522"/>
      <c r="N3" s="504"/>
      <c r="O3" s="522"/>
      <c r="P3" s="504"/>
      <c r="Q3" s="522"/>
      <c r="R3" s="510"/>
      <c r="S3" s="511"/>
      <c r="T3" s="15"/>
      <c r="U3" s="15"/>
      <c r="V3" s="15"/>
      <c r="W3" s="15"/>
      <c r="X3" s="15"/>
      <c r="Y3" s="15"/>
      <c r="Z3" s="15"/>
    </row>
    <row r="4" spans="1:26" ht="12.95" customHeight="1" x14ac:dyDescent="0.25">
      <c r="A4" s="470" t="s">
        <v>272</v>
      </c>
      <c r="B4" s="486">
        <v>1500</v>
      </c>
      <c r="C4" s="570">
        <v>14.53</v>
      </c>
      <c r="D4" s="486">
        <v>0</v>
      </c>
      <c r="E4" s="506">
        <f t="shared" si="0"/>
        <v>0</v>
      </c>
      <c r="F4" s="498">
        <v>0</v>
      </c>
      <c r="G4" s="506">
        <f t="shared" si="1"/>
        <v>0</v>
      </c>
      <c r="H4" s="500"/>
      <c r="I4" s="501"/>
      <c r="J4" s="501"/>
      <c r="K4" s="501"/>
      <c r="L4" s="501"/>
      <c r="M4" s="522"/>
      <c r="N4" s="504"/>
      <c r="O4" s="522"/>
      <c r="P4" s="504"/>
      <c r="Q4" s="522"/>
      <c r="R4" s="510"/>
      <c r="S4" s="511"/>
      <c r="T4" s="15"/>
      <c r="U4" s="15"/>
      <c r="V4" s="15"/>
      <c r="W4" s="15"/>
      <c r="X4" s="15"/>
      <c r="Y4" s="15"/>
      <c r="Z4" s="15"/>
    </row>
    <row r="5" spans="1:26" ht="12.95" customHeight="1" x14ac:dyDescent="0.25">
      <c r="A5" s="470" t="s">
        <v>273</v>
      </c>
      <c r="B5" s="486">
        <v>1500</v>
      </c>
      <c r="C5" s="570">
        <v>14.53</v>
      </c>
      <c r="D5" s="486">
        <v>0</v>
      </c>
      <c r="E5" s="506">
        <f t="shared" si="0"/>
        <v>0</v>
      </c>
      <c r="F5" s="498">
        <v>0</v>
      </c>
      <c r="G5" s="506">
        <f t="shared" si="1"/>
        <v>0</v>
      </c>
      <c r="H5" s="500"/>
      <c r="I5" s="501"/>
      <c r="J5" s="501"/>
      <c r="K5" s="501"/>
      <c r="L5" s="501"/>
      <c r="M5" s="522"/>
      <c r="N5" s="504"/>
      <c r="O5" s="522"/>
      <c r="P5" s="504"/>
      <c r="Q5" s="522"/>
      <c r="R5" s="510"/>
      <c r="S5" s="511"/>
      <c r="T5" s="15"/>
      <c r="U5" s="15"/>
      <c r="V5" s="15"/>
      <c r="W5" s="15"/>
      <c r="X5" s="15"/>
      <c r="Y5" s="15"/>
      <c r="Z5" s="15"/>
    </row>
    <row r="6" spans="1:26" ht="12.95" customHeight="1" x14ac:dyDescent="0.25">
      <c r="A6" s="526" t="s">
        <v>39</v>
      </c>
      <c r="B6" s="518">
        <f>(B2*D2)+(B3*D3)+(B4*D4)+(B5*D5)</f>
        <v>0</v>
      </c>
      <c r="C6" s="527">
        <f>IF(B6&gt;0,E6/B6,0)</f>
        <v>0</v>
      </c>
      <c r="D6" s="518">
        <f>SUM(D2:D5)</f>
        <v>0</v>
      </c>
      <c r="E6" s="518">
        <f>SUM(E2:E5)</f>
        <v>0</v>
      </c>
      <c r="F6" s="514"/>
      <c r="G6" s="518">
        <f>SUM(G2:G5)</f>
        <v>0</v>
      </c>
      <c r="H6" s="490"/>
      <c r="I6" s="88"/>
      <c r="J6" s="88"/>
      <c r="K6" s="88"/>
      <c r="L6" s="8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2.95" customHeight="1" x14ac:dyDescent="0.25">
      <c r="A7" s="500" t="s">
        <v>282</v>
      </c>
      <c r="B7" s="506"/>
      <c r="C7" s="506">
        <f>Cotton!M42+Corn!M42+Soybean!M42+Rice_LG!M42+Rice_MG!M42+Wheat!M42+Sorghum!M42+Peanut!M42</f>
        <v>0</v>
      </c>
      <c r="D7" s="506"/>
      <c r="E7" s="490"/>
      <c r="F7" s="528"/>
      <c r="G7" s="506">
        <f>Cotton!M41+Corn!M41+Soybean!M41+Rice_LG!M41+Rice_MG!M41+Wheat!M41+Sorghum!M41+Peanut!M41</f>
        <v>0</v>
      </c>
      <c r="H7" s="500" t="s">
        <v>269</v>
      </c>
      <c r="I7" s="501"/>
      <c r="J7" s="501"/>
      <c r="K7" s="501"/>
      <c r="L7" s="501"/>
      <c r="M7" s="522"/>
      <c r="N7" s="504"/>
      <c r="O7" s="522"/>
      <c r="P7" s="504"/>
      <c r="Q7" s="522"/>
      <c r="R7" s="510"/>
      <c r="S7" s="511"/>
      <c r="T7" s="15"/>
      <c r="U7" s="15"/>
      <c r="V7" s="15"/>
      <c r="W7" s="15"/>
      <c r="X7" s="15"/>
      <c r="Y7" s="15"/>
      <c r="Z7" s="15"/>
    </row>
    <row r="8" spans="1:26" ht="12.95" customHeight="1" x14ac:dyDescent="0.25">
      <c r="A8" s="532" t="s">
        <v>283</v>
      </c>
      <c r="B8" s="506"/>
      <c r="C8" s="525">
        <f>IF(E6&gt;0,E6,C7)</f>
        <v>0</v>
      </c>
      <c r="D8" s="506"/>
      <c r="E8" s="490"/>
      <c r="F8" s="528"/>
      <c r="G8" s="525">
        <f>IF(G9&gt;0,G9,G7-G6)</f>
        <v>0</v>
      </c>
      <c r="H8" s="532" t="s">
        <v>281</v>
      </c>
      <c r="I8" s="501"/>
      <c r="J8" s="501"/>
      <c r="K8" s="501"/>
      <c r="L8" s="501"/>
      <c r="M8" s="522"/>
      <c r="N8" s="504"/>
      <c r="O8" s="522"/>
      <c r="P8" s="504"/>
      <c r="Q8" s="522"/>
      <c r="R8" s="510"/>
      <c r="S8" s="511"/>
      <c r="T8" s="15"/>
      <c r="U8" s="15"/>
      <c r="V8" s="15"/>
      <c r="W8" s="15"/>
      <c r="X8" s="15"/>
      <c r="Y8" s="15"/>
      <c r="Z8" s="15"/>
    </row>
    <row r="9" spans="1:26" ht="12.95" customHeight="1" x14ac:dyDescent="0.25">
      <c r="A9" s="470"/>
      <c r="B9" s="506"/>
      <c r="C9" s="490"/>
      <c r="D9" s="506"/>
      <c r="E9" s="490"/>
      <c r="F9" s="528"/>
      <c r="G9" s="529">
        <v>0</v>
      </c>
      <c r="H9" s="500" t="s">
        <v>274</v>
      </c>
      <c r="I9" s="501"/>
      <c r="J9" s="501"/>
      <c r="K9" s="501"/>
      <c r="L9" s="501"/>
      <c r="M9" s="522"/>
      <c r="N9" s="504"/>
      <c r="O9" s="522"/>
      <c r="P9" s="504"/>
      <c r="Q9" s="522"/>
      <c r="R9" s="510"/>
      <c r="S9" s="511"/>
      <c r="T9" s="15"/>
      <c r="U9" s="15"/>
      <c r="V9" s="15"/>
      <c r="W9" s="15"/>
      <c r="X9" s="15"/>
      <c r="Y9" s="15"/>
      <c r="Z9" s="15"/>
    </row>
    <row r="10" spans="1:26" ht="12.95" customHeight="1" x14ac:dyDescent="0.25">
      <c r="A10" s="494"/>
      <c r="B10" s="486"/>
      <c r="C10" s="480"/>
      <c r="D10" s="486"/>
      <c r="E10" s="480"/>
      <c r="F10" s="498"/>
      <c r="G10" s="499"/>
      <c r="H10" s="521"/>
      <c r="I10" s="522"/>
      <c r="J10" s="522"/>
      <c r="K10" s="522"/>
      <c r="L10" s="522"/>
      <c r="M10" s="522"/>
      <c r="N10" s="504"/>
      <c r="O10" s="522"/>
      <c r="P10" s="504"/>
      <c r="Q10" s="522"/>
      <c r="R10" s="510"/>
      <c r="S10" s="511"/>
      <c r="T10" s="15"/>
      <c r="U10" s="15"/>
      <c r="V10" s="15"/>
      <c r="W10" s="15"/>
      <c r="X10" s="15"/>
      <c r="Y10" s="15"/>
      <c r="Z10" s="15"/>
    </row>
    <row r="11" spans="1:26" ht="12.95" customHeight="1" x14ac:dyDescent="0.25">
      <c r="A11" s="494"/>
      <c r="B11" s="486"/>
      <c r="C11" s="480"/>
      <c r="D11" s="486"/>
      <c r="E11" s="480"/>
      <c r="F11" s="498"/>
      <c r="G11" s="499"/>
      <c r="H11" s="521"/>
      <c r="I11" s="522"/>
      <c r="J11" s="522"/>
      <c r="K11" s="522"/>
      <c r="L11" s="522"/>
      <c r="M11" s="522"/>
      <c r="N11" s="504"/>
      <c r="O11" s="522"/>
      <c r="P11" s="504"/>
      <c r="Q11" s="522"/>
      <c r="R11" s="510"/>
      <c r="S11" s="511"/>
      <c r="T11" s="15"/>
      <c r="U11" s="15"/>
      <c r="V11" s="15"/>
      <c r="W11" s="15"/>
      <c r="X11" s="15"/>
      <c r="Y11" s="15"/>
      <c r="Z11" s="15"/>
    </row>
    <row r="12" spans="1:26" ht="12.95" customHeight="1" x14ac:dyDescent="0.25">
      <c r="A12" s="494"/>
      <c r="B12" s="486"/>
      <c r="C12" s="480"/>
      <c r="D12" s="486"/>
      <c r="E12" s="480"/>
      <c r="F12" s="498"/>
      <c r="G12" s="499"/>
      <c r="H12" s="521"/>
      <c r="I12" s="522"/>
      <c r="J12" s="522"/>
      <c r="K12" s="522"/>
      <c r="L12" s="522"/>
      <c r="M12" s="522"/>
      <c r="N12" s="504"/>
      <c r="O12" s="522"/>
      <c r="P12" s="504"/>
      <c r="Q12" s="522"/>
      <c r="R12" s="510"/>
      <c r="S12" s="511"/>
      <c r="T12" s="15"/>
      <c r="U12" s="15"/>
      <c r="V12" s="15"/>
      <c r="W12" s="15"/>
      <c r="X12" s="15"/>
      <c r="Y12" s="15"/>
      <c r="Z12" s="15"/>
    </row>
    <row r="13" spans="1:26" ht="12.95" customHeight="1" x14ac:dyDescent="0.25">
      <c r="A13" s="494"/>
      <c r="B13" s="486"/>
      <c r="C13" s="480"/>
      <c r="D13" s="486"/>
      <c r="E13" s="480"/>
      <c r="F13" s="498"/>
      <c r="G13" s="499"/>
      <c r="H13" s="521"/>
      <c r="I13" s="522"/>
      <c r="J13" s="522"/>
      <c r="K13" s="522"/>
      <c r="L13" s="522"/>
      <c r="M13" s="522"/>
      <c r="N13" s="504"/>
      <c r="O13" s="522"/>
      <c r="P13" s="504"/>
      <c r="Q13" s="522"/>
      <c r="R13" s="510"/>
      <c r="S13" s="511"/>
      <c r="T13" s="15"/>
      <c r="U13" s="15"/>
      <c r="V13" s="15"/>
      <c r="W13" s="15"/>
      <c r="X13" s="15"/>
      <c r="Y13" s="15"/>
      <c r="Z13" s="15"/>
    </row>
    <row r="14" spans="1:26" ht="12.95" customHeight="1" x14ac:dyDescent="0.25">
      <c r="A14" s="494"/>
      <c r="B14" s="486"/>
      <c r="C14" s="480"/>
      <c r="D14" s="486"/>
      <c r="E14" s="480"/>
      <c r="F14" s="498"/>
      <c r="G14" s="499"/>
      <c r="H14" s="521"/>
      <c r="I14" s="522"/>
      <c r="J14" s="522"/>
      <c r="K14" s="522"/>
      <c r="L14" s="522"/>
      <c r="M14" s="522"/>
      <c r="N14" s="504"/>
      <c r="O14" s="522"/>
      <c r="P14" s="504"/>
      <c r="Q14" s="522"/>
      <c r="R14" s="510"/>
      <c r="S14" s="511"/>
      <c r="T14" s="15"/>
      <c r="U14" s="15"/>
      <c r="V14" s="15"/>
      <c r="W14" s="15"/>
      <c r="X14" s="15"/>
      <c r="Y14" s="15"/>
      <c r="Z14" s="15"/>
    </row>
    <row r="15" spans="1:26" ht="12.95" customHeight="1" x14ac:dyDescent="0.25">
      <c r="A15" s="494"/>
      <c r="B15" s="486"/>
      <c r="C15" s="480"/>
      <c r="D15" s="486"/>
      <c r="E15" s="480"/>
      <c r="F15" s="498"/>
      <c r="G15" s="499"/>
      <c r="H15" s="521"/>
      <c r="I15" s="522"/>
      <c r="J15" s="522"/>
      <c r="K15" s="522"/>
      <c r="L15" s="522"/>
      <c r="M15" s="522"/>
      <c r="N15" s="504"/>
      <c r="O15" s="522"/>
      <c r="P15" s="504"/>
      <c r="Q15" s="522"/>
      <c r="R15" s="510"/>
      <c r="S15" s="511"/>
      <c r="T15" s="15"/>
      <c r="U15" s="15"/>
      <c r="V15" s="15"/>
      <c r="W15" s="15"/>
      <c r="X15" s="15"/>
      <c r="Y15" s="15"/>
      <c r="Z15" s="15"/>
    </row>
    <row r="16" spans="1:26" ht="12.95" customHeight="1" x14ac:dyDescent="0.25">
      <c r="A16" s="494"/>
      <c r="B16" s="486"/>
      <c r="C16" s="480"/>
      <c r="D16" s="486"/>
      <c r="E16" s="480"/>
      <c r="F16" s="498"/>
      <c r="G16" s="499"/>
      <c r="H16" s="521"/>
      <c r="I16" s="522"/>
      <c r="J16" s="522"/>
      <c r="K16" s="522"/>
      <c r="L16" s="522"/>
      <c r="M16" s="522"/>
      <c r="N16" s="504"/>
      <c r="O16" s="522"/>
      <c r="P16" s="504"/>
      <c r="Q16" s="522"/>
      <c r="R16" s="510"/>
      <c r="S16" s="511"/>
      <c r="T16" s="15"/>
      <c r="U16" s="15"/>
      <c r="V16" s="15"/>
      <c r="W16" s="15"/>
      <c r="X16" s="15"/>
      <c r="Y16" s="15"/>
      <c r="Z16" s="15"/>
    </row>
    <row r="17" spans="1:26" ht="12.95" customHeight="1" x14ac:dyDescent="0.25">
      <c r="A17" s="494"/>
      <c r="B17" s="486"/>
      <c r="C17" s="480"/>
      <c r="D17" s="486"/>
      <c r="E17" s="480"/>
      <c r="F17" s="498"/>
      <c r="G17" s="499"/>
      <c r="H17" s="521"/>
      <c r="I17" s="522"/>
      <c r="J17" s="522"/>
      <c r="K17" s="522"/>
      <c r="L17" s="522"/>
      <c r="M17" s="522"/>
      <c r="N17" s="504"/>
      <c r="O17" s="522"/>
      <c r="P17" s="504"/>
      <c r="Q17" s="522"/>
      <c r="R17" s="510"/>
      <c r="S17" s="511"/>
      <c r="T17" s="15"/>
      <c r="U17" s="15"/>
      <c r="V17" s="15"/>
      <c r="W17" s="15"/>
      <c r="X17" s="15"/>
      <c r="Y17" s="15"/>
      <c r="Z17" s="15"/>
    </row>
    <row r="18" spans="1:26" ht="12.95" customHeight="1" x14ac:dyDescent="0.25">
      <c r="A18" s="494"/>
      <c r="B18" s="486"/>
      <c r="C18" s="480"/>
      <c r="D18" s="486"/>
      <c r="E18" s="480"/>
      <c r="F18" s="498"/>
      <c r="G18" s="499"/>
      <c r="H18" s="521"/>
      <c r="I18" s="522"/>
      <c r="J18" s="522"/>
      <c r="K18" s="522"/>
      <c r="L18" s="522"/>
      <c r="M18" s="522"/>
      <c r="N18" s="504"/>
      <c r="O18" s="522"/>
      <c r="P18" s="504"/>
      <c r="Q18" s="522"/>
      <c r="R18" s="510"/>
      <c r="S18" s="511"/>
      <c r="T18" s="15"/>
      <c r="U18" s="15"/>
      <c r="V18" s="15"/>
      <c r="W18" s="15"/>
      <c r="X18" s="15"/>
      <c r="Y18" s="15"/>
      <c r="Z18" s="15"/>
    </row>
    <row r="19" spans="1:26" ht="12.95" customHeight="1" x14ac:dyDescent="0.25">
      <c r="A19" s="494"/>
      <c r="B19" s="486"/>
      <c r="C19" s="480"/>
      <c r="D19" s="486"/>
      <c r="E19" s="480"/>
      <c r="F19" s="498"/>
      <c r="G19" s="499"/>
      <c r="H19" s="521"/>
      <c r="I19" s="522"/>
      <c r="J19" s="522"/>
      <c r="K19" s="522"/>
      <c r="L19" s="522"/>
      <c r="M19" s="522"/>
      <c r="N19" s="504"/>
      <c r="O19" s="522"/>
      <c r="P19" s="504"/>
      <c r="Q19" s="522"/>
      <c r="R19" s="510"/>
      <c r="S19" s="511"/>
      <c r="T19" s="15"/>
      <c r="U19" s="15"/>
      <c r="V19" s="15"/>
      <c r="W19" s="15"/>
      <c r="X19" s="15"/>
      <c r="Y19" s="15"/>
      <c r="Z19" s="15"/>
    </row>
    <row r="20" spans="1:26" ht="12.95" customHeight="1" x14ac:dyDescent="0.25">
      <c r="A20" s="494"/>
      <c r="B20" s="486"/>
      <c r="C20" s="480"/>
      <c r="D20" s="486"/>
      <c r="E20" s="480"/>
      <c r="F20" s="498"/>
      <c r="G20" s="499"/>
      <c r="H20" s="521"/>
      <c r="I20" s="522"/>
      <c r="J20" s="522"/>
      <c r="K20" s="522"/>
      <c r="L20" s="522"/>
      <c r="M20" s="522"/>
      <c r="N20" s="504"/>
      <c r="O20" s="522"/>
      <c r="P20" s="504"/>
      <c r="Q20" s="522"/>
      <c r="R20" s="510"/>
      <c r="S20" s="511"/>
      <c r="T20" s="15"/>
      <c r="U20" s="15"/>
      <c r="V20" s="15"/>
      <c r="W20" s="15"/>
      <c r="X20" s="15"/>
      <c r="Y20" s="15"/>
      <c r="Z20" s="15"/>
    </row>
    <row r="21" spans="1:26" ht="12.95" customHeight="1" x14ac:dyDescent="0.25">
      <c r="A21" s="494"/>
      <c r="B21" s="486"/>
      <c r="C21" s="480"/>
      <c r="D21" s="486"/>
      <c r="E21" s="480"/>
      <c r="F21" s="498"/>
      <c r="G21" s="499"/>
      <c r="H21" s="521"/>
      <c r="I21" s="522"/>
      <c r="J21" s="522"/>
      <c r="K21" s="522"/>
      <c r="L21" s="522"/>
      <c r="M21" s="522"/>
      <c r="N21" s="504"/>
      <c r="O21" s="522"/>
      <c r="P21" s="504"/>
      <c r="Q21" s="522"/>
      <c r="R21" s="510"/>
      <c r="S21" s="511"/>
      <c r="T21" s="15"/>
      <c r="U21" s="15"/>
      <c r="V21" s="15"/>
      <c r="W21" s="15"/>
      <c r="X21" s="15"/>
      <c r="Y21" s="15"/>
      <c r="Z21" s="15"/>
    </row>
    <row r="22" spans="1:26" ht="12.95" customHeight="1" x14ac:dyDescent="0.25">
      <c r="A22" s="494"/>
      <c r="B22" s="486"/>
      <c r="C22" s="480"/>
      <c r="D22" s="486"/>
      <c r="E22" s="480"/>
      <c r="F22" s="498"/>
      <c r="G22" s="499"/>
      <c r="H22" s="521"/>
      <c r="I22" s="522"/>
      <c r="J22" s="522"/>
      <c r="K22" s="522"/>
      <c r="L22" s="522"/>
      <c r="M22" s="522"/>
      <c r="N22" s="504"/>
      <c r="O22" s="522"/>
      <c r="P22" s="504"/>
      <c r="Q22" s="522"/>
      <c r="R22" s="510"/>
      <c r="S22" s="511"/>
      <c r="T22" s="15"/>
      <c r="U22" s="15"/>
      <c r="V22" s="15"/>
      <c r="W22" s="15"/>
      <c r="X22" s="15"/>
      <c r="Y22" s="15"/>
      <c r="Z22" s="15"/>
    </row>
    <row r="23" spans="1:26" ht="12.95" customHeight="1" x14ac:dyDescent="0.25">
      <c r="A23" s="494"/>
      <c r="B23" s="486"/>
      <c r="C23" s="480"/>
      <c r="D23" s="486"/>
      <c r="E23" s="480"/>
      <c r="F23" s="498"/>
      <c r="G23" s="499"/>
      <c r="H23" s="521"/>
      <c r="I23" s="522"/>
      <c r="J23" s="522"/>
      <c r="K23" s="522"/>
      <c r="L23" s="522"/>
      <c r="M23" s="522"/>
      <c r="N23" s="504"/>
      <c r="O23" s="522"/>
      <c r="P23" s="504"/>
      <c r="Q23" s="522"/>
      <c r="R23" s="510"/>
      <c r="S23" s="511"/>
      <c r="T23" s="15"/>
      <c r="U23" s="15"/>
      <c r="V23" s="15"/>
      <c r="W23" s="15"/>
      <c r="X23" s="15"/>
      <c r="Y23" s="15"/>
      <c r="Z23" s="15"/>
    </row>
    <row r="24" spans="1:26" ht="12.95" customHeight="1" x14ac:dyDescent="0.25">
      <c r="A24" s="494"/>
      <c r="B24" s="486"/>
      <c r="C24" s="480"/>
      <c r="D24" s="486"/>
      <c r="E24" s="480"/>
      <c r="F24" s="498"/>
      <c r="G24" s="499"/>
      <c r="H24" s="521"/>
      <c r="I24" s="522"/>
      <c r="J24" s="522"/>
      <c r="K24" s="522"/>
      <c r="L24" s="522"/>
      <c r="M24" s="522"/>
      <c r="N24" s="504"/>
      <c r="O24" s="522"/>
      <c r="P24" s="504"/>
      <c r="Q24" s="522"/>
      <c r="R24" s="510"/>
      <c r="S24" s="511"/>
      <c r="T24" s="15"/>
      <c r="U24" s="15"/>
      <c r="V24" s="15"/>
      <c r="W24" s="15"/>
      <c r="X24" s="15"/>
      <c r="Y24" s="15"/>
      <c r="Z24" s="15"/>
    </row>
    <row r="25" spans="1:26" ht="12.95" customHeight="1" x14ac:dyDescent="0.25">
      <c r="A25" s="494"/>
      <c r="B25" s="486"/>
      <c r="C25" s="480"/>
      <c r="D25" s="486"/>
      <c r="E25" s="480"/>
      <c r="F25" s="498"/>
      <c r="G25" s="499"/>
      <c r="H25" s="521"/>
      <c r="I25" s="522"/>
      <c r="J25" s="522"/>
      <c r="K25" s="522"/>
      <c r="L25" s="522"/>
      <c r="M25" s="522"/>
      <c r="N25" s="504"/>
      <c r="O25" s="522"/>
      <c r="P25" s="504"/>
      <c r="Q25" s="522"/>
      <c r="R25" s="510"/>
      <c r="S25" s="511"/>
      <c r="T25" s="15"/>
      <c r="U25" s="15"/>
      <c r="V25" s="15"/>
      <c r="W25" s="15"/>
      <c r="X25" s="15"/>
      <c r="Y25" s="15"/>
      <c r="Z25" s="15"/>
    </row>
    <row r="26" spans="1:26" ht="12.95" customHeight="1" x14ac:dyDescent="0.25">
      <c r="A26" s="494"/>
      <c r="B26" s="486"/>
      <c r="C26" s="480"/>
      <c r="D26" s="486"/>
      <c r="E26" s="480"/>
      <c r="F26" s="498"/>
      <c r="G26" s="499"/>
      <c r="H26" s="521"/>
      <c r="I26" s="522"/>
      <c r="J26" s="522"/>
      <c r="K26" s="522"/>
      <c r="L26" s="522"/>
      <c r="M26" s="522"/>
      <c r="N26" s="504"/>
      <c r="O26" s="522"/>
      <c r="P26" s="504"/>
      <c r="Q26" s="522"/>
      <c r="R26" s="510"/>
      <c r="S26" s="511"/>
      <c r="T26" s="15"/>
      <c r="U26" s="15"/>
      <c r="V26" s="15"/>
      <c r="W26" s="15"/>
      <c r="X26" s="15"/>
      <c r="Y26" s="15"/>
      <c r="Z26" s="15"/>
    </row>
    <row r="27" spans="1:26" ht="12.95" customHeight="1" x14ac:dyDescent="0.25">
      <c r="A27" s="494"/>
      <c r="B27" s="486"/>
      <c r="C27" s="480"/>
      <c r="D27" s="486"/>
      <c r="E27" s="480"/>
      <c r="F27" s="498"/>
      <c r="G27" s="499"/>
      <c r="H27" s="521"/>
      <c r="I27" s="522"/>
      <c r="J27" s="522"/>
      <c r="K27" s="522"/>
      <c r="L27" s="522"/>
      <c r="M27" s="522"/>
      <c r="N27" s="504"/>
      <c r="O27" s="522"/>
      <c r="P27" s="504"/>
      <c r="Q27" s="522"/>
      <c r="R27" s="510"/>
      <c r="S27" s="511"/>
      <c r="T27" s="15"/>
      <c r="U27" s="15"/>
      <c r="V27" s="15"/>
      <c r="W27" s="15"/>
      <c r="X27" s="15"/>
      <c r="Y27" s="15"/>
      <c r="Z27" s="15"/>
    </row>
    <row r="28" spans="1:26" ht="12.95" customHeight="1" x14ac:dyDescent="0.25">
      <c r="A28" s="494"/>
      <c r="B28" s="486"/>
      <c r="C28" s="480"/>
      <c r="D28" s="486"/>
      <c r="E28" s="480"/>
      <c r="F28" s="498"/>
      <c r="G28" s="499"/>
      <c r="H28" s="521"/>
      <c r="I28" s="522"/>
      <c r="J28" s="522"/>
      <c r="K28" s="522"/>
      <c r="L28" s="522"/>
      <c r="M28" s="522"/>
      <c r="N28" s="504"/>
      <c r="O28" s="522"/>
      <c r="P28" s="504"/>
      <c r="Q28" s="522"/>
      <c r="R28" s="510"/>
      <c r="S28" s="511"/>
      <c r="T28" s="15"/>
      <c r="U28" s="15"/>
      <c r="V28" s="15"/>
      <c r="W28" s="15"/>
      <c r="X28" s="15"/>
      <c r="Y28" s="15"/>
      <c r="Z28" s="15"/>
    </row>
    <row r="29" spans="1:26" ht="12.95" customHeight="1" x14ac:dyDescent="0.25">
      <c r="A29" s="494"/>
      <c r="B29" s="486"/>
      <c r="C29" s="480"/>
      <c r="D29" s="486"/>
      <c r="E29" s="480"/>
      <c r="F29" s="498"/>
      <c r="G29" s="499"/>
      <c r="H29" s="521"/>
      <c r="I29" s="522"/>
      <c r="J29" s="522"/>
      <c r="K29" s="522"/>
      <c r="L29" s="522"/>
      <c r="M29" s="522"/>
      <c r="N29" s="504"/>
      <c r="O29" s="522"/>
      <c r="P29" s="504"/>
      <c r="Q29" s="522"/>
      <c r="R29" s="510"/>
      <c r="S29" s="511"/>
      <c r="T29" s="15"/>
      <c r="U29" s="15"/>
      <c r="V29" s="15"/>
      <c r="W29" s="15"/>
      <c r="X29" s="15"/>
      <c r="Y29" s="15"/>
      <c r="Z29" s="15"/>
    </row>
    <row r="30" spans="1:26" ht="12.95" customHeight="1" x14ac:dyDescent="0.25">
      <c r="A30" s="494"/>
      <c r="B30" s="486"/>
      <c r="C30" s="480"/>
      <c r="D30" s="486"/>
      <c r="E30" s="480"/>
      <c r="F30" s="498"/>
      <c r="G30" s="499"/>
      <c r="H30" s="521"/>
      <c r="I30" s="522"/>
      <c r="J30" s="522"/>
      <c r="K30" s="522"/>
      <c r="L30" s="522"/>
      <c r="M30" s="522"/>
      <c r="N30" s="504"/>
      <c r="O30" s="522"/>
      <c r="P30" s="504"/>
      <c r="Q30" s="522"/>
      <c r="R30" s="510"/>
      <c r="S30" s="511"/>
      <c r="T30" s="15"/>
      <c r="U30" s="15"/>
      <c r="V30" s="15"/>
      <c r="W30" s="15"/>
      <c r="X30" s="15"/>
      <c r="Y30" s="15"/>
      <c r="Z30" s="15"/>
    </row>
    <row r="31" spans="1:26" ht="12.95" customHeight="1" x14ac:dyDescent="0.25">
      <c r="A31" s="494"/>
      <c r="B31" s="486"/>
      <c r="C31" s="480"/>
      <c r="D31" s="486"/>
      <c r="E31" s="480"/>
      <c r="F31" s="498"/>
      <c r="G31" s="499"/>
      <c r="H31" s="521"/>
      <c r="I31" s="522"/>
      <c r="J31" s="522"/>
      <c r="K31" s="522"/>
      <c r="L31" s="522"/>
      <c r="M31" s="522"/>
      <c r="N31" s="504"/>
      <c r="O31" s="522"/>
      <c r="P31" s="504"/>
      <c r="Q31" s="522"/>
      <c r="R31" s="510"/>
      <c r="S31" s="511"/>
      <c r="T31" s="15"/>
      <c r="U31" s="15"/>
      <c r="V31" s="15"/>
      <c r="W31" s="15"/>
      <c r="X31" s="15"/>
      <c r="Y31" s="15"/>
      <c r="Z31" s="15"/>
    </row>
    <row r="32" spans="1:26" ht="12.95" customHeight="1" x14ac:dyDescent="0.25">
      <c r="A32" s="494"/>
      <c r="B32" s="486"/>
      <c r="C32" s="480"/>
      <c r="D32" s="486"/>
      <c r="E32" s="480"/>
      <c r="F32" s="498"/>
      <c r="G32" s="499"/>
      <c r="H32" s="521"/>
      <c r="I32" s="522"/>
      <c r="J32" s="522"/>
      <c r="K32" s="522"/>
      <c r="L32" s="522"/>
      <c r="M32" s="522"/>
      <c r="N32" s="504"/>
      <c r="O32" s="522"/>
      <c r="P32" s="504"/>
      <c r="Q32" s="522"/>
      <c r="R32" s="510"/>
      <c r="S32" s="511"/>
      <c r="T32" s="15"/>
      <c r="U32" s="15"/>
      <c r="V32" s="15"/>
      <c r="W32" s="15"/>
      <c r="X32" s="15"/>
      <c r="Y32" s="15"/>
      <c r="Z32" s="15"/>
    </row>
    <row r="33" spans="1:26" ht="12.95" customHeight="1" x14ac:dyDescent="0.25">
      <c r="A33" s="494"/>
      <c r="B33" s="486"/>
      <c r="C33" s="480"/>
      <c r="D33" s="486"/>
      <c r="E33" s="480"/>
      <c r="F33" s="498"/>
      <c r="G33" s="499"/>
      <c r="H33" s="521"/>
      <c r="I33" s="522"/>
      <c r="J33" s="522"/>
      <c r="K33" s="522"/>
      <c r="L33" s="522"/>
      <c r="M33" s="522"/>
      <c r="N33" s="504"/>
      <c r="O33" s="522"/>
      <c r="P33" s="504"/>
      <c r="Q33" s="522"/>
      <c r="R33" s="510"/>
      <c r="S33" s="511"/>
      <c r="T33" s="15"/>
      <c r="U33" s="15"/>
      <c r="V33" s="15"/>
      <c r="W33" s="15"/>
      <c r="X33" s="15"/>
      <c r="Y33" s="15"/>
      <c r="Z33" s="15"/>
    </row>
    <row r="34" spans="1:26" ht="12.95" customHeight="1" x14ac:dyDescent="0.25">
      <c r="A34" s="494"/>
      <c r="B34" s="486"/>
      <c r="C34" s="480"/>
      <c r="D34" s="486"/>
      <c r="E34" s="480"/>
      <c r="F34" s="498"/>
      <c r="G34" s="499"/>
      <c r="H34" s="521"/>
      <c r="I34" s="522"/>
      <c r="J34" s="522"/>
      <c r="K34" s="522"/>
      <c r="L34" s="522"/>
      <c r="M34" s="522"/>
      <c r="N34" s="504"/>
      <c r="O34" s="522"/>
      <c r="P34" s="504"/>
      <c r="Q34" s="522"/>
      <c r="R34" s="510"/>
      <c r="S34" s="511"/>
      <c r="T34" s="15"/>
      <c r="U34" s="15"/>
      <c r="V34" s="15"/>
      <c r="W34" s="15"/>
      <c r="X34" s="15"/>
      <c r="Y34" s="15"/>
      <c r="Z34" s="15"/>
    </row>
    <row r="35" spans="1:26" ht="12.95" customHeight="1" x14ac:dyDescent="0.25">
      <c r="A35" s="494"/>
      <c r="B35" s="486"/>
      <c r="C35" s="480"/>
      <c r="D35" s="486"/>
      <c r="E35" s="480"/>
      <c r="F35" s="498"/>
      <c r="G35" s="499"/>
      <c r="H35" s="521"/>
      <c r="I35" s="522"/>
      <c r="J35" s="522"/>
      <c r="K35" s="522"/>
      <c r="L35" s="522"/>
      <c r="M35" s="522"/>
      <c r="N35" s="504"/>
      <c r="O35" s="522"/>
      <c r="P35" s="504"/>
      <c r="Q35" s="522"/>
      <c r="R35" s="510"/>
      <c r="S35" s="511"/>
      <c r="T35" s="15"/>
      <c r="U35" s="15"/>
      <c r="V35" s="15"/>
      <c r="W35" s="15"/>
      <c r="X35" s="15"/>
      <c r="Y35" s="15"/>
      <c r="Z35" s="15"/>
    </row>
    <row r="36" spans="1:26" ht="12.95" customHeight="1" x14ac:dyDescent="0.25">
      <c r="A36" s="494"/>
      <c r="B36" s="486"/>
      <c r="C36" s="480"/>
      <c r="D36" s="486"/>
      <c r="E36" s="480"/>
      <c r="F36" s="498"/>
      <c r="G36" s="499"/>
      <c r="H36" s="521"/>
      <c r="I36" s="522"/>
      <c r="J36" s="522"/>
      <c r="K36" s="522"/>
      <c r="L36" s="522"/>
      <c r="M36" s="522"/>
      <c r="N36" s="504"/>
      <c r="O36" s="522"/>
      <c r="P36" s="504"/>
      <c r="Q36" s="522"/>
      <c r="R36" s="510"/>
      <c r="S36" s="511"/>
      <c r="T36" s="15"/>
      <c r="U36" s="15"/>
      <c r="V36" s="15"/>
      <c r="W36" s="15"/>
      <c r="X36" s="15"/>
      <c r="Y36" s="15"/>
      <c r="Z36" s="15"/>
    </row>
    <row r="37" spans="1:26" ht="12.95" customHeight="1" x14ac:dyDescent="0.25">
      <c r="A37" s="494"/>
      <c r="B37" s="486"/>
      <c r="C37" s="480"/>
      <c r="D37" s="486"/>
      <c r="E37" s="480"/>
      <c r="F37" s="498"/>
      <c r="G37" s="499"/>
      <c r="H37" s="521"/>
      <c r="I37" s="522"/>
      <c r="J37" s="522"/>
      <c r="K37" s="522"/>
      <c r="L37" s="522"/>
      <c r="M37" s="522"/>
      <c r="N37" s="504"/>
      <c r="O37" s="522"/>
      <c r="P37" s="504"/>
      <c r="Q37" s="522"/>
      <c r="R37" s="510"/>
      <c r="S37" s="511"/>
      <c r="T37" s="15"/>
      <c r="U37" s="15"/>
      <c r="V37" s="15"/>
      <c r="W37" s="15"/>
      <c r="X37" s="15"/>
      <c r="Y37" s="15"/>
      <c r="Z37" s="15"/>
    </row>
    <row r="38" spans="1:26" ht="12.95" customHeight="1" x14ac:dyDescent="0.25">
      <c r="A38" s="494"/>
      <c r="B38" s="486"/>
      <c r="C38" s="480"/>
      <c r="D38" s="486"/>
      <c r="E38" s="480"/>
      <c r="F38" s="498"/>
      <c r="G38" s="499"/>
      <c r="H38" s="521"/>
      <c r="I38" s="522"/>
      <c r="J38" s="522"/>
      <c r="K38" s="522"/>
      <c r="L38" s="522"/>
      <c r="M38" s="522"/>
      <c r="N38" s="504"/>
      <c r="O38" s="522"/>
      <c r="P38" s="504"/>
      <c r="Q38" s="522"/>
      <c r="R38" s="510"/>
      <c r="S38" s="511"/>
      <c r="T38" s="15"/>
      <c r="U38" s="15"/>
      <c r="V38" s="15"/>
      <c r="W38" s="15"/>
      <c r="X38" s="15"/>
      <c r="Y38" s="15"/>
      <c r="Z38" s="15"/>
    </row>
    <row r="39" spans="1:26" ht="12.95" customHeight="1" x14ac:dyDescent="0.25">
      <c r="A39" s="494"/>
      <c r="B39" s="486"/>
      <c r="C39" s="480"/>
      <c r="D39" s="486"/>
      <c r="E39" s="480"/>
      <c r="F39" s="498"/>
      <c r="G39" s="499"/>
      <c r="H39" s="521"/>
      <c r="I39" s="522"/>
      <c r="J39" s="522"/>
      <c r="K39" s="522"/>
      <c r="L39" s="522"/>
      <c r="M39" s="522"/>
      <c r="N39" s="504"/>
      <c r="O39" s="522"/>
      <c r="P39" s="504"/>
      <c r="Q39" s="522"/>
      <c r="R39" s="510"/>
      <c r="S39" s="511"/>
      <c r="T39" s="15"/>
      <c r="U39" s="15"/>
      <c r="V39" s="15"/>
      <c r="W39" s="15"/>
      <c r="X39" s="15"/>
      <c r="Y39" s="15"/>
      <c r="Z39" s="15"/>
    </row>
    <row r="40" spans="1:26" ht="12.95" customHeight="1" x14ac:dyDescent="0.25">
      <c r="A40" s="494"/>
      <c r="B40" s="486"/>
      <c r="C40" s="480"/>
      <c r="D40" s="486"/>
      <c r="E40" s="480"/>
      <c r="F40" s="498"/>
      <c r="G40" s="499"/>
      <c r="H40" s="521"/>
      <c r="I40" s="522"/>
      <c r="J40" s="522"/>
      <c r="K40" s="522"/>
      <c r="L40" s="522"/>
      <c r="M40" s="522"/>
      <c r="N40" s="504"/>
      <c r="O40" s="522"/>
      <c r="P40" s="504"/>
      <c r="Q40" s="522"/>
      <c r="R40" s="510"/>
      <c r="S40" s="511"/>
      <c r="T40" s="15"/>
      <c r="U40" s="15"/>
      <c r="V40" s="15"/>
      <c r="W40" s="15"/>
      <c r="X40" s="15"/>
      <c r="Y40" s="15"/>
      <c r="Z40" s="15"/>
    </row>
    <row r="41" spans="1:26" ht="12.95" customHeight="1" x14ac:dyDescent="0.25">
      <c r="A41" s="494"/>
      <c r="B41" s="486"/>
      <c r="C41" s="480"/>
      <c r="D41" s="486"/>
      <c r="E41" s="480"/>
      <c r="F41" s="498"/>
      <c r="G41" s="499"/>
      <c r="H41" s="521"/>
      <c r="I41" s="522"/>
      <c r="J41" s="522"/>
      <c r="K41" s="522"/>
      <c r="L41" s="522"/>
      <c r="M41" s="522"/>
      <c r="N41" s="504"/>
      <c r="O41" s="522"/>
      <c r="P41" s="504"/>
      <c r="Q41" s="522"/>
      <c r="R41" s="510"/>
      <c r="S41" s="511"/>
      <c r="T41" s="15"/>
      <c r="U41" s="15"/>
      <c r="V41" s="15"/>
      <c r="W41" s="15"/>
      <c r="X41" s="15"/>
      <c r="Y41" s="15"/>
      <c r="Z41" s="15"/>
    </row>
    <row r="42" spans="1:26" ht="12.95" customHeight="1" x14ac:dyDescent="0.25">
      <c r="A42" s="494"/>
      <c r="B42" s="486"/>
      <c r="C42" s="480"/>
      <c r="D42" s="486"/>
      <c r="E42" s="480"/>
      <c r="F42" s="498"/>
      <c r="G42" s="499"/>
      <c r="H42" s="521"/>
      <c r="I42" s="522"/>
      <c r="J42" s="522"/>
      <c r="K42" s="522"/>
      <c r="L42" s="522"/>
      <c r="M42" s="522"/>
      <c r="N42" s="504"/>
      <c r="O42" s="522"/>
      <c r="P42" s="504"/>
      <c r="Q42" s="522"/>
      <c r="R42" s="510"/>
      <c r="S42" s="511"/>
      <c r="T42" s="15"/>
      <c r="U42" s="15"/>
      <c r="V42" s="15"/>
      <c r="W42" s="15"/>
      <c r="X42" s="15"/>
      <c r="Y42" s="15"/>
      <c r="Z42" s="15"/>
    </row>
    <row r="43" spans="1:26" ht="12.95" customHeight="1" x14ac:dyDescent="0.25">
      <c r="A43" s="494"/>
      <c r="B43" s="486"/>
      <c r="C43" s="480"/>
      <c r="D43" s="486"/>
      <c r="E43" s="480"/>
      <c r="F43" s="498"/>
      <c r="G43" s="499"/>
      <c r="H43" s="521"/>
      <c r="I43" s="522"/>
      <c r="J43" s="522"/>
      <c r="K43" s="522"/>
      <c r="L43" s="522"/>
      <c r="M43" s="522"/>
      <c r="N43" s="504"/>
      <c r="O43" s="522"/>
      <c r="P43" s="504"/>
      <c r="Q43" s="522"/>
      <c r="R43" s="510"/>
      <c r="S43" s="511"/>
      <c r="T43" s="15"/>
      <c r="U43" s="15"/>
      <c r="V43" s="15"/>
      <c r="W43" s="15"/>
      <c r="X43" s="15"/>
      <c r="Y43" s="15"/>
      <c r="Z43" s="15"/>
    </row>
    <row r="44" spans="1:26" ht="12.95" customHeight="1" x14ac:dyDescent="0.25">
      <c r="A44" s="494"/>
      <c r="B44" s="486"/>
      <c r="C44" s="480"/>
      <c r="D44" s="486"/>
      <c r="E44" s="480"/>
      <c r="F44" s="498"/>
      <c r="G44" s="499"/>
      <c r="H44" s="521"/>
      <c r="I44" s="522"/>
      <c r="J44" s="522"/>
      <c r="K44" s="522"/>
      <c r="L44" s="522"/>
      <c r="M44" s="522"/>
      <c r="N44" s="504"/>
      <c r="O44" s="522"/>
      <c r="P44" s="504"/>
      <c r="Q44" s="522"/>
      <c r="R44" s="510"/>
      <c r="S44" s="511"/>
      <c r="T44" s="15"/>
      <c r="U44" s="15"/>
      <c r="V44" s="15"/>
      <c r="W44" s="15"/>
      <c r="X44" s="15"/>
      <c r="Y44" s="15"/>
      <c r="Z44" s="15"/>
    </row>
    <row r="45" spans="1:26" ht="12.95" customHeight="1" x14ac:dyDescent="0.25">
      <c r="A45" s="494"/>
      <c r="B45" s="486"/>
      <c r="C45" s="480"/>
      <c r="D45" s="486"/>
      <c r="E45" s="480"/>
      <c r="F45" s="498"/>
      <c r="G45" s="499"/>
      <c r="H45" s="521"/>
      <c r="I45" s="522"/>
      <c r="J45" s="522"/>
      <c r="K45" s="522"/>
      <c r="L45" s="522"/>
      <c r="M45" s="522"/>
      <c r="N45" s="504"/>
      <c r="O45" s="522"/>
      <c r="P45" s="504"/>
      <c r="Q45" s="522"/>
      <c r="R45" s="510"/>
      <c r="S45" s="511"/>
      <c r="T45" s="15"/>
      <c r="U45" s="15"/>
      <c r="V45" s="15"/>
      <c r="W45" s="15"/>
      <c r="X45" s="15"/>
      <c r="Y45" s="15"/>
      <c r="Z45" s="15"/>
    </row>
    <row r="46" spans="1:26" ht="12.95" customHeight="1" x14ac:dyDescent="0.25">
      <c r="A46" s="494"/>
      <c r="B46" s="486"/>
      <c r="C46" s="480"/>
      <c r="D46" s="486"/>
      <c r="E46" s="480"/>
      <c r="F46" s="498"/>
      <c r="G46" s="499"/>
      <c r="H46" s="521"/>
      <c r="I46" s="522"/>
      <c r="J46" s="522"/>
      <c r="K46" s="522"/>
      <c r="L46" s="522"/>
      <c r="M46" s="522"/>
      <c r="N46" s="504"/>
      <c r="O46" s="522"/>
      <c r="P46" s="504"/>
      <c r="Q46" s="522"/>
      <c r="R46" s="510"/>
      <c r="S46" s="511"/>
      <c r="T46" s="15"/>
      <c r="U46" s="15"/>
      <c r="V46" s="15"/>
      <c r="W46" s="15"/>
      <c r="X46" s="15"/>
      <c r="Y46" s="15"/>
      <c r="Z46" s="15"/>
    </row>
    <row r="47" spans="1:26" ht="12.95" customHeight="1" x14ac:dyDescent="0.25">
      <c r="A47" s="494"/>
      <c r="B47" s="486"/>
      <c r="C47" s="480"/>
      <c r="D47" s="486"/>
      <c r="E47" s="480"/>
      <c r="F47" s="498"/>
      <c r="G47" s="499"/>
      <c r="H47" s="521"/>
      <c r="I47" s="522"/>
      <c r="J47" s="522"/>
      <c r="K47" s="522"/>
      <c r="L47" s="522"/>
      <c r="M47" s="522"/>
      <c r="N47" s="504"/>
      <c r="O47" s="522"/>
      <c r="P47" s="504"/>
      <c r="Q47" s="522"/>
      <c r="R47" s="510"/>
      <c r="S47" s="511"/>
      <c r="T47" s="15"/>
      <c r="U47" s="15"/>
      <c r="V47" s="15"/>
      <c r="W47" s="15"/>
      <c r="X47" s="15"/>
      <c r="Y47" s="15"/>
      <c r="Z47" s="15"/>
    </row>
    <row r="48" spans="1:26" ht="12.95" customHeight="1" x14ac:dyDescent="0.25">
      <c r="A48" s="524"/>
      <c r="B48" s="480"/>
      <c r="C48" s="480"/>
      <c r="D48" s="480"/>
      <c r="E48" s="480"/>
      <c r="F48" s="480"/>
      <c r="G48" s="480"/>
      <c r="H48" s="480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95" customHeight="1" x14ac:dyDescent="0.25">
      <c r="A49" s="494"/>
      <c r="B49" s="486"/>
      <c r="C49" s="480"/>
      <c r="D49" s="486"/>
      <c r="E49" s="480"/>
      <c r="F49" s="498"/>
      <c r="G49" s="499"/>
      <c r="H49" s="521"/>
      <c r="I49" s="522"/>
      <c r="J49" s="522"/>
      <c r="K49" s="522"/>
      <c r="L49" s="522"/>
      <c r="M49" s="522"/>
      <c r="N49" s="504"/>
      <c r="O49" s="522"/>
      <c r="P49" s="504"/>
      <c r="Q49" s="522"/>
      <c r="R49" s="510"/>
      <c r="S49" s="511"/>
      <c r="T49" s="15"/>
      <c r="U49" s="15"/>
      <c r="V49" s="15"/>
      <c r="W49" s="15"/>
      <c r="X49" s="15"/>
      <c r="Y49" s="15"/>
      <c r="Z49" s="15"/>
    </row>
    <row r="50" spans="1:26" ht="12.95" customHeight="1" x14ac:dyDescent="0.25">
      <c r="A50" s="494"/>
      <c r="B50" s="486"/>
      <c r="C50" s="480"/>
      <c r="D50" s="486"/>
      <c r="E50" s="480"/>
      <c r="F50" s="498"/>
      <c r="G50" s="499"/>
      <c r="H50" s="521"/>
      <c r="I50" s="522"/>
      <c r="J50" s="522"/>
      <c r="K50" s="522"/>
      <c r="L50" s="522"/>
      <c r="M50" s="522"/>
      <c r="N50" s="504"/>
      <c r="O50" s="522"/>
      <c r="P50" s="504"/>
      <c r="Q50" s="522"/>
      <c r="R50" s="510"/>
      <c r="S50" s="511"/>
      <c r="T50" s="15"/>
      <c r="U50" s="15"/>
      <c r="V50" s="15"/>
      <c r="W50" s="15"/>
      <c r="X50" s="15"/>
      <c r="Y50" s="15"/>
      <c r="Z50" s="15"/>
    </row>
    <row r="51" spans="1:26" ht="12.95" customHeight="1" x14ac:dyDescent="0.25">
      <c r="A51" s="494"/>
      <c r="B51" s="486"/>
      <c r="C51" s="480"/>
      <c r="D51" s="486"/>
      <c r="E51" s="480"/>
      <c r="F51" s="498"/>
      <c r="G51" s="499"/>
      <c r="H51" s="521"/>
      <c r="I51" s="522"/>
      <c r="J51" s="522"/>
      <c r="K51" s="522"/>
      <c r="L51" s="522"/>
      <c r="M51" s="522"/>
      <c r="N51" s="504"/>
      <c r="O51" s="522"/>
      <c r="P51" s="504"/>
      <c r="Q51" s="522"/>
      <c r="R51" s="510"/>
      <c r="S51" s="511"/>
      <c r="T51" s="15"/>
      <c r="U51" s="15"/>
      <c r="V51" s="15"/>
      <c r="W51" s="15"/>
      <c r="X51" s="15"/>
      <c r="Y51" s="15"/>
      <c r="Z51" s="15"/>
    </row>
    <row r="52" spans="1:26" ht="12.95" customHeight="1" x14ac:dyDescent="0.25">
      <c r="A52" s="524"/>
      <c r="B52" s="480"/>
      <c r="C52" s="480"/>
      <c r="D52" s="480"/>
      <c r="E52" s="480"/>
      <c r="F52" s="480"/>
      <c r="G52" s="480"/>
      <c r="H52" s="480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95" customHeight="1" x14ac:dyDescent="0.25">
      <c r="A53" s="494"/>
      <c r="B53" s="486"/>
      <c r="C53" s="480"/>
      <c r="D53" s="486"/>
      <c r="E53" s="480"/>
      <c r="F53" s="498"/>
      <c r="G53" s="499"/>
      <c r="H53" s="521"/>
      <c r="I53" s="522"/>
      <c r="J53" s="522"/>
      <c r="K53" s="522"/>
      <c r="L53" s="522"/>
      <c r="M53" s="522"/>
      <c r="N53" s="504"/>
      <c r="O53" s="522"/>
      <c r="P53" s="504"/>
      <c r="Q53" s="522"/>
      <c r="R53" s="510"/>
      <c r="S53" s="511"/>
      <c r="T53" s="15"/>
      <c r="U53" s="15"/>
      <c r="V53" s="15"/>
      <c r="W53" s="15"/>
      <c r="X53" s="15"/>
      <c r="Y53" s="15"/>
      <c r="Z53" s="15"/>
    </row>
    <row r="54" spans="1:26" ht="12.95" customHeight="1" x14ac:dyDescent="0.25">
      <c r="A54" s="494"/>
      <c r="B54" s="486"/>
      <c r="C54" s="480"/>
      <c r="D54" s="486"/>
      <c r="E54" s="480"/>
      <c r="F54" s="498"/>
      <c r="G54" s="499"/>
      <c r="H54" s="521"/>
      <c r="I54" s="522"/>
      <c r="J54" s="522"/>
      <c r="K54" s="522"/>
      <c r="L54" s="522"/>
      <c r="M54" s="522"/>
      <c r="N54" s="504"/>
      <c r="O54" s="522"/>
      <c r="P54" s="504"/>
      <c r="Q54" s="522"/>
      <c r="R54" s="510"/>
      <c r="S54" s="511"/>
      <c r="T54" s="15"/>
      <c r="U54" s="15"/>
      <c r="V54" s="15"/>
      <c r="W54" s="15"/>
      <c r="X54" s="15"/>
      <c r="Y54" s="15"/>
      <c r="Z54" s="15"/>
    </row>
    <row r="55" spans="1:26" ht="12.95" customHeight="1" x14ac:dyDescent="0.25">
      <c r="A55" s="494"/>
      <c r="B55" s="486"/>
      <c r="C55" s="480"/>
      <c r="D55" s="486"/>
      <c r="E55" s="480"/>
      <c r="F55" s="498"/>
      <c r="G55" s="499"/>
      <c r="H55" s="521"/>
      <c r="I55" s="522"/>
      <c r="J55" s="522"/>
      <c r="K55" s="522"/>
      <c r="L55" s="522"/>
      <c r="M55" s="522"/>
      <c r="N55" s="504"/>
      <c r="O55" s="522"/>
      <c r="P55" s="504"/>
      <c r="Q55" s="522"/>
      <c r="R55" s="510"/>
      <c r="S55" s="511"/>
      <c r="T55" s="15"/>
      <c r="U55" s="15"/>
      <c r="V55" s="15"/>
      <c r="W55" s="15"/>
      <c r="X55" s="15"/>
      <c r="Y55" s="15"/>
      <c r="Z55" s="15"/>
    </row>
    <row r="56" spans="1:26" ht="12.95" customHeight="1" x14ac:dyDescent="0.25">
      <c r="A56" s="494"/>
      <c r="B56" s="486"/>
      <c r="C56" s="480"/>
      <c r="D56" s="486"/>
      <c r="E56" s="480"/>
      <c r="F56" s="498"/>
      <c r="G56" s="499"/>
      <c r="H56" s="521"/>
      <c r="I56" s="522"/>
      <c r="J56" s="522"/>
      <c r="K56" s="522"/>
      <c r="L56" s="522"/>
      <c r="M56" s="522"/>
      <c r="N56" s="504"/>
      <c r="O56" s="522"/>
      <c r="P56" s="504"/>
      <c r="Q56" s="522"/>
      <c r="R56" s="510"/>
      <c r="S56" s="511"/>
      <c r="T56" s="15"/>
      <c r="U56" s="15"/>
      <c r="V56" s="15"/>
      <c r="W56" s="15"/>
      <c r="X56" s="15"/>
      <c r="Y56" s="15"/>
      <c r="Z56" s="15"/>
    </row>
    <row r="57" spans="1:26" ht="12.95" customHeight="1" x14ac:dyDescent="0.25">
      <c r="A57" s="494"/>
      <c r="B57" s="486"/>
      <c r="C57" s="480"/>
      <c r="D57" s="486"/>
      <c r="E57" s="480"/>
      <c r="F57" s="498"/>
      <c r="G57" s="499"/>
      <c r="H57" s="521"/>
      <c r="I57" s="522"/>
      <c r="J57" s="522"/>
      <c r="K57" s="522"/>
      <c r="L57" s="522"/>
      <c r="M57" s="522"/>
      <c r="N57" s="504"/>
      <c r="O57" s="522"/>
      <c r="P57" s="504"/>
      <c r="Q57" s="522"/>
      <c r="R57" s="510"/>
      <c r="S57" s="511"/>
      <c r="T57" s="15"/>
      <c r="U57" s="15"/>
      <c r="V57" s="15"/>
      <c r="W57" s="15"/>
      <c r="X57" s="15"/>
      <c r="Y57" s="15"/>
      <c r="Z57" s="15"/>
    </row>
    <row r="58" spans="1:26" ht="12.95" customHeight="1" x14ac:dyDescent="0.25">
      <c r="A58" s="494"/>
      <c r="B58" s="486"/>
      <c r="C58" s="480"/>
      <c r="D58" s="486"/>
      <c r="E58" s="480"/>
      <c r="F58" s="498"/>
      <c r="G58" s="499"/>
      <c r="H58" s="521"/>
      <c r="I58" s="522"/>
      <c r="J58" s="522"/>
      <c r="K58" s="522"/>
      <c r="L58" s="522"/>
      <c r="M58" s="522"/>
      <c r="N58" s="504"/>
      <c r="O58" s="522"/>
      <c r="P58" s="504"/>
      <c r="Q58" s="522"/>
      <c r="R58" s="510"/>
      <c r="S58" s="511"/>
      <c r="T58" s="15"/>
      <c r="U58" s="15"/>
      <c r="V58" s="15"/>
      <c r="W58" s="15"/>
      <c r="X58" s="15"/>
      <c r="Y58" s="15"/>
      <c r="Z58" s="15"/>
    </row>
    <row r="59" spans="1:26" ht="12.95" customHeight="1" x14ac:dyDescent="0.25">
      <c r="A59" s="494"/>
      <c r="B59" s="486"/>
      <c r="C59" s="480"/>
      <c r="D59" s="486"/>
      <c r="E59" s="480"/>
      <c r="F59" s="498"/>
      <c r="G59" s="499"/>
      <c r="H59" s="521"/>
      <c r="I59" s="522"/>
      <c r="J59" s="522"/>
      <c r="K59" s="522"/>
      <c r="L59" s="522"/>
      <c r="M59" s="522"/>
      <c r="N59" s="504"/>
      <c r="O59" s="522"/>
      <c r="P59" s="504"/>
      <c r="Q59" s="522"/>
      <c r="R59" s="510"/>
      <c r="S59" s="511"/>
      <c r="T59" s="15"/>
      <c r="U59" s="15"/>
      <c r="V59" s="15"/>
      <c r="W59" s="15"/>
      <c r="X59" s="15"/>
      <c r="Y59" s="15"/>
      <c r="Z59" s="15"/>
    </row>
    <row r="60" spans="1:26" ht="12.95" customHeight="1" x14ac:dyDescent="0.25">
      <c r="A60" s="494"/>
      <c r="B60" s="486"/>
      <c r="C60" s="480"/>
      <c r="D60" s="486"/>
      <c r="E60" s="480"/>
      <c r="F60" s="498"/>
      <c r="G60" s="499"/>
      <c r="H60" s="521"/>
      <c r="I60" s="522"/>
      <c r="J60" s="522"/>
      <c r="K60" s="522"/>
      <c r="L60" s="522"/>
      <c r="M60" s="522"/>
      <c r="N60" s="504"/>
      <c r="O60" s="522"/>
      <c r="P60" s="504"/>
      <c r="Q60" s="522"/>
      <c r="R60" s="510"/>
      <c r="S60" s="511"/>
      <c r="T60" s="15"/>
      <c r="U60" s="15"/>
      <c r="V60" s="15"/>
      <c r="W60" s="15"/>
      <c r="X60" s="15"/>
      <c r="Y60" s="15"/>
      <c r="Z60" s="15"/>
    </row>
    <row r="61" spans="1:26" ht="12.95" customHeight="1" x14ac:dyDescent="0.25">
      <c r="A61" s="494"/>
      <c r="B61" s="486"/>
      <c r="C61" s="480"/>
      <c r="D61" s="486"/>
      <c r="E61" s="480"/>
      <c r="F61" s="498"/>
      <c r="G61" s="499"/>
      <c r="H61" s="521"/>
      <c r="I61" s="522"/>
      <c r="J61" s="522"/>
      <c r="K61" s="522"/>
      <c r="L61" s="522"/>
      <c r="M61" s="522"/>
      <c r="N61" s="504"/>
      <c r="O61" s="522"/>
      <c r="P61" s="504"/>
      <c r="Q61" s="522"/>
      <c r="R61" s="510"/>
      <c r="S61" s="511"/>
      <c r="T61" s="15"/>
      <c r="U61" s="15"/>
      <c r="V61" s="15"/>
      <c r="W61" s="15"/>
      <c r="X61" s="15"/>
      <c r="Y61" s="15"/>
      <c r="Z61" s="15"/>
    </row>
    <row r="62" spans="1:26" ht="12.95" customHeight="1" x14ac:dyDescent="0.25">
      <c r="A62" s="494"/>
      <c r="B62" s="486"/>
      <c r="C62" s="480"/>
      <c r="D62" s="486"/>
      <c r="E62" s="480"/>
      <c r="F62" s="498"/>
      <c r="G62" s="499"/>
      <c r="H62" s="521"/>
      <c r="I62" s="522"/>
      <c r="J62" s="522"/>
      <c r="K62" s="522"/>
      <c r="L62" s="522"/>
      <c r="M62" s="522"/>
      <c r="N62" s="504"/>
      <c r="O62" s="522"/>
      <c r="P62" s="504"/>
      <c r="Q62" s="522"/>
      <c r="R62" s="510"/>
      <c r="S62" s="511"/>
      <c r="T62" s="15"/>
      <c r="U62" s="15"/>
      <c r="V62" s="15"/>
      <c r="W62" s="15"/>
      <c r="X62" s="15"/>
      <c r="Y62" s="15"/>
      <c r="Z62" s="15"/>
    </row>
    <row r="63" spans="1:26" ht="12.95" customHeight="1" x14ac:dyDescent="0.25">
      <c r="A63" s="494"/>
      <c r="B63" s="486"/>
      <c r="C63" s="480"/>
      <c r="D63" s="486"/>
      <c r="E63" s="480"/>
      <c r="F63" s="498"/>
      <c r="G63" s="499"/>
      <c r="H63" s="521"/>
      <c r="I63" s="522"/>
      <c r="J63" s="522"/>
      <c r="K63" s="522"/>
      <c r="L63" s="522"/>
      <c r="M63" s="522"/>
      <c r="N63" s="504"/>
      <c r="O63" s="522"/>
      <c r="P63" s="504"/>
      <c r="Q63" s="522"/>
      <c r="R63" s="510"/>
      <c r="S63" s="511"/>
      <c r="T63" s="15"/>
      <c r="U63" s="15"/>
      <c r="V63" s="15"/>
      <c r="W63" s="15"/>
      <c r="X63" s="15"/>
      <c r="Y63" s="15"/>
      <c r="Z63" s="15"/>
    </row>
    <row r="64" spans="1:26" ht="12.95" customHeight="1" x14ac:dyDescent="0.25">
      <c r="A64" s="494"/>
      <c r="B64" s="486"/>
      <c r="C64" s="480"/>
      <c r="D64" s="486"/>
      <c r="E64" s="480"/>
      <c r="F64" s="498"/>
      <c r="G64" s="499"/>
      <c r="H64" s="521"/>
      <c r="I64" s="522"/>
      <c r="J64" s="522"/>
      <c r="K64" s="522"/>
      <c r="L64" s="522"/>
      <c r="M64" s="522"/>
      <c r="N64" s="504"/>
      <c r="O64" s="522"/>
      <c r="P64" s="504"/>
      <c r="Q64" s="522"/>
      <c r="R64" s="510"/>
      <c r="S64" s="511"/>
      <c r="T64" s="15"/>
      <c r="U64" s="15"/>
      <c r="V64" s="15"/>
      <c r="W64" s="15"/>
      <c r="X64" s="15"/>
      <c r="Y64" s="15"/>
      <c r="Z64" s="15"/>
    </row>
    <row r="65" spans="1:26" ht="12.95" customHeight="1" x14ac:dyDescent="0.25">
      <c r="A65" s="494"/>
      <c r="B65" s="486"/>
      <c r="C65" s="480"/>
      <c r="D65" s="486"/>
      <c r="E65" s="480"/>
      <c r="F65" s="498"/>
      <c r="G65" s="499"/>
      <c r="H65" s="521"/>
      <c r="I65" s="522"/>
      <c r="J65" s="522"/>
      <c r="K65" s="522"/>
      <c r="L65" s="522"/>
      <c r="M65" s="522"/>
      <c r="N65" s="504"/>
      <c r="O65" s="522"/>
      <c r="P65" s="504"/>
      <c r="Q65" s="522"/>
      <c r="R65" s="510"/>
      <c r="S65" s="511"/>
      <c r="T65" s="15"/>
      <c r="U65" s="15"/>
      <c r="V65" s="15"/>
      <c r="W65" s="15"/>
      <c r="X65" s="15"/>
      <c r="Y65" s="15"/>
      <c r="Z65" s="15"/>
    </row>
    <row r="66" spans="1:26" ht="12.95" customHeight="1" x14ac:dyDescent="0.25">
      <c r="A66" s="494"/>
      <c r="B66" s="486"/>
      <c r="C66" s="480"/>
      <c r="D66" s="486"/>
      <c r="E66" s="480"/>
      <c r="F66" s="498"/>
      <c r="G66" s="499"/>
      <c r="H66" s="521"/>
      <c r="I66" s="522"/>
      <c r="J66" s="522"/>
      <c r="K66" s="522"/>
      <c r="L66" s="522"/>
      <c r="M66" s="522"/>
      <c r="N66" s="504"/>
      <c r="O66" s="522"/>
      <c r="P66" s="504"/>
      <c r="Q66" s="522"/>
      <c r="R66" s="510"/>
      <c r="S66" s="511"/>
      <c r="T66" s="15"/>
      <c r="U66" s="15"/>
      <c r="V66" s="15"/>
      <c r="W66" s="15"/>
      <c r="X66" s="15"/>
      <c r="Y66" s="15"/>
      <c r="Z66" s="15"/>
    </row>
    <row r="67" spans="1:26" ht="12.95" customHeight="1" x14ac:dyDescent="0.25">
      <c r="A67" s="494"/>
      <c r="B67" s="486"/>
      <c r="C67" s="480"/>
      <c r="D67" s="486"/>
      <c r="E67" s="480"/>
      <c r="F67" s="498"/>
      <c r="G67" s="499"/>
      <c r="H67" s="521"/>
      <c r="I67" s="522"/>
      <c r="J67" s="522"/>
      <c r="K67" s="522"/>
      <c r="L67" s="522"/>
      <c r="M67" s="522"/>
      <c r="N67" s="504"/>
      <c r="O67" s="522"/>
      <c r="P67" s="504"/>
      <c r="Q67" s="522"/>
      <c r="R67" s="510"/>
      <c r="S67" s="511"/>
      <c r="T67" s="15"/>
      <c r="U67" s="15"/>
      <c r="V67" s="15"/>
      <c r="W67" s="15"/>
      <c r="X67" s="15"/>
      <c r="Y67" s="15"/>
      <c r="Z67" s="15"/>
    </row>
    <row r="68" spans="1:26" ht="12.95" customHeight="1" x14ac:dyDescent="0.25">
      <c r="A68" s="494"/>
      <c r="B68" s="486"/>
      <c r="C68" s="480"/>
      <c r="D68" s="486"/>
      <c r="E68" s="480"/>
      <c r="F68" s="498"/>
      <c r="G68" s="499"/>
      <c r="H68" s="521"/>
      <c r="I68" s="522"/>
      <c r="J68" s="522"/>
      <c r="K68" s="522"/>
      <c r="L68" s="522"/>
      <c r="M68" s="522"/>
      <c r="N68" s="504"/>
      <c r="O68" s="522"/>
      <c r="P68" s="504"/>
      <c r="Q68" s="522"/>
      <c r="R68" s="510"/>
      <c r="S68" s="511"/>
      <c r="T68" s="15"/>
      <c r="U68" s="15"/>
      <c r="V68" s="15"/>
      <c r="W68" s="15"/>
      <c r="X68" s="15"/>
      <c r="Y68" s="15"/>
      <c r="Z68" s="15"/>
    </row>
    <row r="69" spans="1:26" ht="12.95" customHeight="1" x14ac:dyDescent="0.25">
      <c r="A69" s="494"/>
      <c r="B69" s="486"/>
      <c r="C69" s="480"/>
      <c r="D69" s="486"/>
      <c r="E69" s="480"/>
      <c r="F69" s="498"/>
      <c r="G69" s="499"/>
      <c r="H69" s="521"/>
      <c r="I69" s="522"/>
      <c r="J69" s="522"/>
      <c r="K69" s="522"/>
      <c r="L69" s="522"/>
      <c r="M69" s="522"/>
      <c r="N69" s="504"/>
      <c r="O69" s="522"/>
      <c r="P69" s="504"/>
      <c r="Q69" s="522"/>
      <c r="R69" s="510"/>
      <c r="S69" s="511"/>
      <c r="T69" s="15"/>
      <c r="U69" s="15"/>
      <c r="V69" s="15"/>
      <c r="W69" s="15"/>
      <c r="X69" s="15"/>
      <c r="Y69" s="15"/>
      <c r="Z69" s="15"/>
    </row>
    <row r="70" spans="1:26" ht="12.95" customHeight="1" x14ac:dyDescent="0.25">
      <c r="A70" s="494"/>
      <c r="B70" s="486"/>
      <c r="C70" s="480"/>
      <c r="D70" s="486"/>
      <c r="E70" s="480"/>
      <c r="F70" s="498"/>
      <c r="G70" s="499"/>
      <c r="H70" s="521"/>
      <c r="I70" s="522"/>
      <c r="J70" s="522"/>
      <c r="K70" s="522"/>
      <c r="L70" s="522"/>
      <c r="M70" s="522"/>
      <c r="N70" s="504"/>
      <c r="O70" s="522"/>
      <c r="P70" s="504"/>
      <c r="Q70" s="522"/>
      <c r="R70" s="510"/>
      <c r="S70" s="511"/>
      <c r="T70" s="15"/>
      <c r="U70" s="15"/>
      <c r="V70" s="15"/>
      <c r="W70" s="15"/>
      <c r="X70" s="15"/>
      <c r="Y70" s="15"/>
      <c r="Z70" s="15"/>
    </row>
    <row r="71" spans="1:26" x14ac:dyDescent="0.25">
      <c r="A71" s="494"/>
      <c r="B71" s="486"/>
      <c r="C71" s="480"/>
      <c r="D71" s="486"/>
      <c r="E71" s="480"/>
      <c r="F71" s="498"/>
      <c r="G71" s="499"/>
      <c r="H71" s="521"/>
      <c r="I71" s="522"/>
      <c r="J71" s="522"/>
      <c r="K71" s="522"/>
      <c r="L71" s="522"/>
      <c r="M71" s="522"/>
      <c r="N71" s="504"/>
      <c r="O71" s="522"/>
      <c r="P71" s="504"/>
      <c r="Q71" s="522"/>
      <c r="R71" s="510"/>
      <c r="S71" s="511"/>
      <c r="T71" s="15"/>
      <c r="U71" s="15"/>
      <c r="V71" s="15"/>
      <c r="W71" s="15"/>
      <c r="X71" s="15"/>
      <c r="Y71" s="15"/>
      <c r="Z71" s="15"/>
    </row>
    <row r="72" spans="1:26" x14ac:dyDescent="0.25">
      <c r="A72" s="524"/>
      <c r="B72" s="486"/>
      <c r="C72" s="480"/>
      <c r="D72" s="486"/>
      <c r="E72" s="480"/>
      <c r="F72" s="498"/>
      <c r="G72" s="499"/>
      <c r="H72" s="521"/>
      <c r="I72" s="522"/>
      <c r="J72" s="522"/>
      <c r="K72" s="522"/>
      <c r="L72" s="522"/>
      <c r="M72" s="522"/>
      <c r="N72" s="504"/>
      <c r="O72" s="522"/>
      <c r="P72" s="504"/>
      <c r="Q72" s="522"/>
      <c r="R72" s="15"/>
      <c r="S72" s="15"/>
      <c r="T72" s="523"/>
      <c r="U72" s="523"/>
      <c r="V72" s="523"/>
      <c r="W72" s="15"/>
      <c r="X72" s="15"/>
      <c r="Y72" s="15"/>
      <c r="Z72" s="15"/>
    </row>
    <row r="73" spans="1:26" x14ac:dyDescent="0.25">
      <c r="A73" s="494"/>
      <c r="B73" s="486"/>
      <c r="C73" s="480"/>
      <c r="D73" s="486"/>
      <c r="E73" s="480"/>
      <c r="F73" s="498"/>
      <c r="G73" s="499"/>
      <c r="H73" s="521"/>
      <c r="I73" s="522"/>
      <c r="J73" s="522"/>
      <c r="K73" s="522"/>
      <c r="L73" s="522"/>
      <c r="M73" s="522"/>
      <c r="N73" s="504"/>
      <c r="O73" s="522"/>
      <c r="P73" s="504"/>
      <c r="Q73" s="522"/>
      <c r="R73" s="510"/>
      <c r="S73" s="511"/>
      <c r="T73" s="486"/>
      <c r="U73" s="509"/>
      <c r="V73" s="486"/>
      <c r="W73" s="15"/>
      <c r="X73" s="15"/>
      <c r="Y73" s="15"/>
      <c r="Z73" s="15"/>
    </row>
    <row r="74" spans="1:26" x14ac:dyDescent="0.25">
      <c r="A74" s="494"/>
      <c r="B74" s="486"/>
      <c r="C74" s="480"/>
      <c r="D74" s="486"/>
      <c r="E74" s="480"/>
      <c r="F74" s="498"/>
      <c r="G74" s="499"/>
      <c r="H74" s="521"/>
      <c r="I74" s="522"/>
      <c r="J74" s="522"/>
      <c r="K74" s="522"/>
      <c r="L74" s="522"/>
      <c r="M74" s="522"/>
      <c r="N74" s="504"/>
      <c r="O74" s="522"/>
      <c r="P74" s="504"/>
      <c r="Q74" s="522"/>
      <c r="R74" s="510"/>
      <c r="S74" s="511"/>
      <c r="T74" s="486"/>
      <c r="U74" s="509"/>
      <c r="V74" s="486"/>
      <c r="W74" s="15"/>
      <c r="X74" s="15"/>
      <c r="Y74" s="15"/>
      <c r="Z74" s="15"/>
    </row>
    <row r="75" spans="1:26" x14ac:dyDescent="0.25">
      <c r="A75" s="494"/>
      <c r="B75" s="486"/>
      <c r="C75" s="480"/>
      <c r="D75" s="486"/>
      <c r="E75" s="480"/>
      <c r="F75" s="498"/>
      <c r="G75" s="499"/>
      <c r="H75" s="521"/>
      <c r="I75" s="522"/>
      <c r="J75" s="522"/>
      <c r="K75" s="522"/>
      <c r="L75" s="522"/>
      <c r="M75" s="522"/>
      <c r="N75" s="504"/>
      <c r="O75" s="522"/>
      <c r="P75" s="504"/>
      <c r="Q75" s="522"/>
      <c r="R75" s="510"/>
      <c r="S75" s="511"/>
      <c r="T75" s="486"/>
      <c r="U75" s="509"/>
      <c r="V75" s="486"/>
      <c r="W75" s="15"/>
      <c r="X75" s="15"/>
      <c r="Y75" s="15"/>
      <c r="Z75" s="15"/>
    </row>
    <row r="76" spans="1:26" x14ac:dyDescent="0.25">
      <c r="A76" s="494"/>
      <c r="B76" s="486"/>
      <c r="C76" s="480"/>
      <c r="D76" s="486"/>
      <c r="E76" s="480"/>
      <c r="F76" s="498"/>
      <c r="G76" s="499"/>
      <c r="H76" s="521"/>
      <c r="I76" s="522"/>
      <c r="J76" s="522"/>
      <c r="K76" s="522"/>
      <c r="L76" s="522"/>
      <c r="M76" s="522"/>
      <c r="N76" s="504"/>
      <c r="O76" s="522"/>
      <c r="P76" s="504"/>
      <c r="Q76" s="522"/>
      <c r="R76" s="510"/>
      <c r="S76" s="511"/>
      <c r="T76" s="486"/>
      <c r="U76" s="509"/>
      <c r="V76" s="486"/>
      <c r="W76" s="15"/>
      <c r="X76" s="15"/>
      <c r="Y76" s="15"/>
      <c r="Z76" s="15"/>
    </row>
    <row r="77" spans="1:26" x14ac:dyDescent="0.25">
      <c r="A77" s="494"/>
      <c r="B77" s="486"/>
      <c r="C77" s="480"/>
      <c r="D77" s="486"/>
      <c r="E77" s="480"/>
      <c r="F77" s="498"/>
      <c r="G77" s="499"/>
      <c r="H77" s="521"/>
      <c r="I77" s="522"/>
      <c r="J77" s="522"/>
      <c r="K77" s="522"/>
      <c r="L77" s="522"/>
      <c r="M77" s="522"/>
      <c r="N77" s="504"/>
      <c r="O77" s="522"/>
      <c r="P77" s="504"/>
      <c r="Q77" s="522"/>
      <c r="R77" s="510"/>
      <c r="S77" s="511"/>
      <c r="T77" s="486"/>
      <c r="U77" s="509"/>
      <c r="V77" s="486"/>
      <c r="W77" s="15"/>
      <c r="X77" s="15"/>
      <c r="Y77" s="15"/>
      <c r="Z77" s="15"/>
    </row>
    <row r="78" spans="1:26" x14ac:dyDescent="0.25">
      <c r="A78" s="494"/>
      <c r="B78" s="486"/>
      <c r="C78" s="480"/>
      <c r="D78" s="486"/>
      <c r="E78" s="480"/>
      <c r="F78" s="498"/>
      <c r="G78" s="499"/>
      <c r="H78" s="521"/>
      <c r="I78" s="522"/>
      <c r="J78" s="522"/>
      <c r="K78" s="522"/>
      <c r="L78" s="522"/>
      <c r="M78" s="522"/>
      <c r="N78" s="504"/>
      <c r="O78" s="522"/>
      <c r="P78" s="504"/>
      <c r="Q78" s="522"/>
      <c r="R78" s="510"/>
      <c r="S78" s="511"/>
      <c r="T78" s="486"/>
      <c r="U78" s="509"/>
      <c r="V78" s="486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1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"/>
    </sheetView>
  </sheetViews>
  <sheetFormatPr defaultRowHeight="15" x14ac:dyDescent="0.25"/>
  <cols>
    <col min="1" max="1" width="31.28515625" bestFit="1" customWidth="1"/>
    <col min="2" max="2" width="7.85546875" customWidth="1"/>
    <col min="3" max="3" width="5.85546875" customWidth="1"/>
    <col min="4" max="4" width="5.140625" customWidth="1"/>
    <col min="5" max="5" width="7.85546875" customWidth="1"/>
    <col min="6" max="6" width="5.5703125" customWidth="1"/>
    <col min="10" max="11" width="7.85546875" customWidth="1"/>
    <col min="17" max="17" width="7.85546875" customWidth="1"/>
    <col min="18" max="18" width="7" customWidth="1"/>
    <col min="19" max="20" width="7.85546875" customWidth="1"/>
  </cols>
  <sheetData>
    <row r="1" spans="1:27" ht="26.25" x14ac:dyDescent="0.25">
      <c r="A1" s="495" t="s">
        <v>245</v>
      </c>
      <c r="B1" s="497" t="s">
        <v>246</v>
      </c>
      <c r="C1" s="497" t="s">
        <v>236</v>
      </c>
      <c r="D1" s="476" t="s">
        <v>244</v>
      </c>
      <c r="E1" s="497" t="s">
        <v>247</v>
      </c>
      <c r="F1" s="496" t="s">
        <v>194</v>
      </c>
      <c r="G1" s="497" t="s">
        <v>248</v>
      </c>
      <c r="H1" s="497" t="s">
        <v>253</v>
      </c>
      <c r="I1" s="497" t="s">
        <v>48</v>
      </c>
      <c r="J1" s="497" t="s">
        <v>249</v>
      </c>
      <c r="K1" s="497" t="s">
        <v>250</v>
      </c>
      <c r="L1" s="497" t="s">
        <v>251</v>
      </c>
      <c r="M1" s="497" t="s">
        <v>252</v>
      </c>
      <c r="N1" s="497" t="s">
        <v>254</v>
      </c>
      <c r="O1" s="497" t="s">
        <v>257</v>
      </c>
      <c r="P1" s="497" t="s">
        <v>256</v>
      </c>
      <c r="Q1" s="497" t="s">
        <v>267</v>
      </c>
      <c r="R1" s="497" t="s">
        <v>149</v>
      </c>
      <c r="S1" s="497" t="s">
        <v>258</v>
      </c>
      <c r="T1" s="497" t="s">
        <v>255</v>
      </c>
      <c r="U1" s="159"/>
      <c r="V1" s="159"/>
      <c r="W1" s="159"/>
      <c r="X1" s="15"/>
      <c r="Y1" s="15"/>
      <c r="Z1" s="15"/>
      <c r="AA1" s="15"/>
    </row>
    <row r="2" spans="1:27" ht="12.95" customHeight="1" x14ac:dyDescent="0.25">
      <c r="A2" s="470" t="s">
        <v>284</v>
      </c>
      <c r="B2" s="486">
        <v>248000</v>
      </c>
      <c r="C2" s="545">
        <f>Hours!S3</f>
        <v>813</v>
      </c>
      <c r="D2" s="480">
        <v>0</v>
      </c>
      <c r="E2" s="506">
        <f>B2*D2</f>
        <v>0</v>
      </c>
      <c r="F2" s="480">
        <v>6</v>
      </c>
      <c r="G2" s="498">
        <v>0.42</v>
      </c>
      <c r="H2" s="501">
        <f>E2*G2</f>
        <v>0</v>
      </c>
      <c r="I2" s="499">
        <v>0.1</v>
      </c>
      <c r="J2" s="500">
        <f>(I2*(1+I2)^F2)/((1+I2)^F2-1)</f>
        <v>0.22960738036266726</v>
      </c>
      <c r="K2" s="501">
        <f>((E2-(G2*E2))*J2)+(I2*(G2*E2))</f>
        <v>0</v>
      </c>
      <c r="L2" s="501">
        <f>((E2-(G2*E2))/F2)</f>
        <v>0</v>
      </c>
      <c r="M2" s="501">
        <f>K2-L2</f>
        <v>0</v>
      </c>
      <c r="N2" s="501">
        <f t="shared" ref="N2:N33" si="0">(E2+H2)/2</f>
        <v>0</v>
      </c>
      <c r="O2" s="504">
        <v>0.01</v>
      </c>
      <c r="P2" s="501">
        <f>N2*O2</f>
        <v>0</v>
      </c>
      <c r="Q2" s="510">
        <v>0.2</v>
      </c>
      <c r="R2" s="511">
        <v>46</v>
      </c>
      <c r="S2" s="512">
        <f>Q2*(R2/1000)</f>
        <v>9.1999999999999998E-3</v>
      </c>
      <c r="T2" s="501">
        <f>N2*S2</f>
        <v>0</v>
      </c>
      <c r="U2" s="15"/>
      <c r="V2" s="480"/>
      <c r="W2" s="15"/>
      <c r="X2" s="15"/>
      <c r="Y2" s="15"/>
      <c r="Z2" s="15"/>
      <c r="AA2" s="15"/>
    </row>
    <row r="3" spans="1:27" ht="12.95" customHeight="1" x14ac:dyDescent="0.25">
      <c r="A3" s="470" t="s">
        <v>326</v>
      </c>
      <c r="B3" s="486">
        <v>206000</v>
      </c>
      <c r="C3" s="545">
        <f>Hours!S4</f>
        <v>383</v>
      </c>
      <c r="D3" s="480">
        <v>0</v>
      </c>
      <c r="E3" s="506">
        <f t="shared" ref="E3:E4" si="1">B3*D3</f>
        <v>0</v>
      </c>
      <c r="F3" s="480">
        <v>10</v>
      </c>
      <c r="G3" s="498">
        <v>0.32</v>
      </c>
      <c r="H3" s="501">
        <f>E3*G3</f>
        <v>0</v>
      </c>
      <c r="I3" s="499">
        <v>0.1</v>
      </c>
      <c r="J3" s="500">
        <f t="shared" ref="J3:J4" si="2">(I3*(1+I3)^F3)/((1+I3)^F3-1)</f>
        <v>0.16274539488251155</v>
      </c>
      <c r="K3" s="501">
        <f t="shared" ref="K3:K5" si="3">((E3-(G3*E3))*J3)+(I3*(G3*E3))</f>
        <v>0</v>
      </c>
      <c r="L3" s="501">
        <f>((E3-(G3*E3))/F3)</f>
        <v>0</v>
      </c>
      <c r="M3" s="501">
        <f t="shared" ref="M3:M5" si="4">K3-L3</f>
        <v>0</v>
      </c>
      <c r="N3" s="501">
        <f t="shared" si="0"/>
        <v>0</v>
      </c>
      <c r="O3" s="504">
        <v>0.01</v>
      </c>
      <c r="P3" s="501">
        <f t="shared" ref="P3:P5" si="5">N3*O3</f>
        <v>0</v>
      </c>
      <c r="Q3" s="510">
        <v>0.2</v>
      </c>
      <c r="R3" s="511">
        <v>46</v>
      </c>
      <c r="S3" s="512">
        <f t="shared" ref="S3:S5" si="6">Q3*(R3/1000)</f>
        <v>9.1999999999999998E-3</v>
      </c>
      <c r="T3" s="501">
        <f t="shared" ref="T3:T5" si="7">N3*S3</f>
        <v>0</v>
      </c>
      <c r="U3" s="15"/>
      <c r="V3" s="480"/>
      <c r="W3" s="15"/>
      <c r="X3" s="15"/>
      <c r="Y3" s="15"/>
      <c r="Z3" s="15"/>
      <c r="AA3" s="15"/>
    </row>
    <row r="4" spans="1:27" ht="12.95" customHeight="1" x14ac:dyDescent="0.25">
      <c r="A4" s="470" t="s">
        <v>327</v>
      </c>
      <c r="B4" s="486">
        <v>164000</v>
      </c>
      <c r="C4" s="545" t="str">
        <f>Hours!S5</f>
        <v xml:space="preserve"> </v>
      </c>
      <c r="D4" s="480">
        <v>0</v>
      </c>
      <c r="E4" s="506">
        <f t="shared" si="1"/>
        <v>0</v>
      </c>
      <c r="F4" s="480">
        <v>10</v>
      </c>
      <c r="G4" s="498">
        <v>0.32</v>
      </c>
      <c r="H4" s="501">
        <f>E4*G4</f>
        <v>0</v>
      </c>
      <c r="I4" s="499">
        <v>0.1</v>
      </c>
      <c r="J4" s="500">
        <f t="shared" si="2"/>
        <v>0.16274539488251155</v>
      </c>
      <c r="K4" s="501">
        <f t="shared" si="3"/>
        <v>0</v>
      </c>
      <c r="L4" s="501">
        <f>((E4-(G4*E4))/F4)</f>
        <v>0</v>
      </c>
      <c r="M4" s="501">
        <f t="shared" si="4"/>
        <v>0</v>
      </c>
      <c r="N4" s="501">
        <f t="shared" si="0"/>
        <v>0</v>
      </c>
      <c r="O4" s="504">
        <v>0.01</v>
      </c>
      <c r="P4" s="501">
        <f t="shared" si="5"/>
        <v>0</v>
      </c>
      <c r="Q4" s="510">
        <v>0.2</v>
      </c>
      <c r="R4" s="511">
        <v>46</v>
      </c>
      <c r="S4" s="512">
        <f t="shared" si="6"/>
        <v>9.1999999999999998E-3</v>
      </c>
      <c r="T4" s="501">
        <f t="shared" si="7"/>
        <v>0</v>
      </c>
      <c r="U4" s="15"/>
      <c r="V4" s="480"/>
      <c r="W4" s="15"/>
      <c r="X4" s="15"/>
      <c r="Y4" s="15"/>
      <c r="Z4" s="15"/>
      <c r="AA4" s="15"/>
    </row>
    <row r="5" spans="1:27" ht="12.95" customHeight="1" x14ac:dyDescent="0.25">
      <c r="A5" s="470" t="s">
        <v>285</v>
      </c>
      <c r="B5" s="486">
        <v>115000</v>
      </c>
      <c r="C5" s="545" t="str">
        <f>Hours!S6</f>
        <v xml:space="preserve"> </v>
      </c>
      <c r="D5" s="480">
        <v>0</v>
      </c>
      <c r="E5" s="506">
        <f>B5*D5</f>
        <v>0</v>
      </c>
      <c r="F5" s="480">
        <v>10</v>
      </c>
      <c r="G5" s="498">
        <v>0.32</v>
      </c>
      <c r="H5" s="501">
        <f>E5*G5</f>
        <v>0</v>
      </c>
      <c r="I5" s="499">
        <v>0.1</v>
      </c>
      <c r="J5" s="500">
        <f>(I5*(1+I5)^F5)/((1+I5)^F5-1)</f>
        <v>0.16274539488251155</v>
      </c>
      <c r="K5" s="501">
        <f t="shared" si="3"/>
        <v>0</v>
      </c>
      <c r="L5" s="501">
        <f>((E5-(G5*E5))/F5)</f>
        <v>0</v>
      </c>
      <c r="M5" s="501">
        <f t="shared" si="4"/>
        <v>0</v>
      </c>
      <c r="N5" s="501">
        <f t="shared" si="0"/>
        <v>0</v>
      </c>
      <c r="O5" s="504">
        <v>0.01</v>
      </c>
      <c r="P5" s="501">
        <f t="shared" si="5"/>
        <v>0</v>
      </c>
      <c r="Q5" s="510">
        <v>0.2</v>
      </c>
      <c r="R5" s="511">
        <v>46</v>
      </c>
      <c r="S5" s="512">
        <f t="shared" si="6"/>
        <v>9.1999999999999998E-3</v>
      </c>
      <c r="T5" s="501">
        <f t="shared" si="7"/>
        <v>0</v>
      </c>
      <c r="U5" s="15"/>
      <c r="V5" s="480"/>
      <c r="W5" s="15"/>
      <c r="X5" s="15"/>
      <c r="Y5" s="15"/>
      <c r="Z5" s="15"/>
      <c r="AA5" s="15"/>
    </row>
    <row r="6" spans="1:27" ht="12.95" customHeight="1" x14ac:dyDescent="0.25">
      <c r="A6" s="491" t="s">
        <v>193</v>
      </c>
      <c r="B6" s="480"/>
      <c r="C6" s="546"/>
      <c r="D6" s="480"/>
      <c r="E6" s="490"/>
      <c r="F6" s="480"/>
      <c r="G6" s="480"/>
      <c r="H6" s="88"/>
      <c r="I6" s="480"/>
      <c r="J6" s="490"/>
      <c r="K6" s="88"/>
      <c r="L6" s="88"/>
      <c r="M6" s="88"/>
      <c r="N6" s="88">
        <f t="shared" si="0"/>
        <v>0</v>
      </c>
      <c r="O6" s="15"/>
      <c r="P6" s="88"/>
      <c r="Q6" s="15"/>
      <c r="R6" s="15"/>
      <c r="S6" s="88"/>
      <c r="T6" s="88"/>
      <c r="U6" s="15"/>
      <c r="V6" s="480"/>
      <c r="W6" s="15"/>
      <c r="X6" s="15"/>
      <c r="Y6" s="15"/>
      <c r="Z6" s="15"/>
      <c r="AA6" s="15"/>
    </row>
    <row r="7" spans="1:27" ht="12.95" customHeight="1" x14ac:dyDescent="0.25">
      <c r="A7" s="478" t="s">
        <v>195</v>
      </c>
      <c r="B7" s="486">
        <v>18700</v>
      </c>
      <c r="C7" s="547" t="str">
        <f>Hours!I3</f>
        <v xml:space="preserve"> </v>
      </c>
      <c r="D7" s="480">
        <v>0</v>
      </c>
      <c r="E7" s="506">
        <f t="shared" ref="E7:E47" si="8">B7*D7</f>
        <v>0</v>
      </c>
      <c r="F7" s="480">
        <v>8</v>
      </c>
      <c r="G7" s="498">
        <v>0.35</v>
      </c>
      <c r="H7" s="501">
        <f t="shared" ref="H7:H47" si="9">E7*G7</f>
        <v>0</v>
      </c>
      <c r="I7" s="499">
        <v>0.1</v>
      </c>
      <c r="J7" s="500">
        <f t="shared" ref="J7:J47" si="10">(I7*(1+I7)^F7)/((1+I7)^F7-1)</f>
        <v>0.18744401757481335</v>
      </c>
      <c r="K7" s="501">
        <f t="shared" ref="K7:K47" si="11">((E7-(G7*E7))*J7)+(I7*(G7*E7))</f>
        <v>0</v>
      </c>
      <c r="L7" s="501">
        <f t="shared" ref="L7:L47" si="12">((E7-(G7*E7))/F7)</f>
        <v>0</v>
      </c>
      <c r="M7" s="501">
        <f t="shared" ref="M7:M47" si="13">K7-L7</f>
        <v>0</v>
      </c>
      <c r="N7" s="501">
        <f t="shared" si="0"/>
        <v>0</v>
      </c>
      <c r="O7" s="504">
        <v>0.01</v>
      </c>
      <c r="P7" s="501">
        <f t="shared" ref="P7:P47" si="14">N7*O7</f>
        <v>0</v>
      </c>
      <c r="Q7" s="510">
        <v>0.2</v>
      </c>
      <c r="R7" s="511">
        <v>46</v>
      </c>
      <c r="S7" s="512">
        <f t="shared" ref="S7:S47" si="15">Q7*(R7/1000)</f>
        <v>9.1999999999999998E-3</v>
      </c>
      <c r="T7" s="501">
        <f t="shared" ref="T7:T47" si="16">N7*S7</f>
        <v>0</v>
      </c>
      <c r="U7" s="15"/>
      <c r="V7" s="480"/>
      <c r="W7" s="15"/>
      <c r="X7" s="15"/>
      <c r="Y7" s="15"/>
      <c r="Z7" s="15"/>
      <c r="AA7" s="15"/>
    </row>
    <row r="8" spans="1:27" ht="12.95" customHeight="1" x14ac:dyDescent="0.25">
      <c r="A8" s="478" t="s">
        <v>309</v>
      </c>
      <c r="B8" s="486">
        <v>21400</v>
      </c>
      <c r="C8" s="545" t="str">
        <f>Hours!I4</f>
        <v xml:space="preserve"> </v>
      </c>
      <c r="D8" s="480">
        <v>0</v>
      </c>
      <c r="E8" s="506">
        <f t="shared" si="8"/>
        <v>0</v>
      </c>
      <c r="F8" s="480">
        <v>8</v>
      </c>
      <c r="G8" s="498">
        <v>0.35</v>
      </c>
      <c r="H8" s="501">
        <f t="shared" si="9"/>
        <v>0</v>
      </c>
      <c r="I8" s="499">
        <v>0.1</v>
      </c>
      <c r="J8" s="500">
        <f t="shared" si="10"/>
        <v>0.18744401757481335</v>
      </c>
      <c r="K8" s="501">
        <f t="shared" si="11"/>
        <v>0</v>
      </c>
      <c r="L8" s="501">
        <f t="shared" si="12"/>
        <v>0</v>
      </c>
      <c r="M8" s="501">
        <f t="shared" si="13"/>
        <v>0</v>
      </c>
      <c r="N8" s="501">
        <f t="shared" si="0"/>
        <v>0</v>
      </c>
      <c r="O8" s="504">
        <v>0.01</v>
      </c>
      <c r="P8" s="501">
        <f t="shared" si="14"/>
        <v>0</v>
      </c>
      <c r="Q8" s="510">
        <v>0.2</v>
      </c>
      <c r="R8" s="511">
        <v>46</v>
      </c>
      <c r="S8" s="512">
        <f t="shared" si="15"/>
        <v>9.1999999999999998E-3</v>
      </c>
      <c r="T8" s="501">
        <f t="shared" si="16"/>
        <v>0</v>
      </c>
      <c r="U8" s="15"/>
      <c r="V8" s="480"/>
      <c r="W8" s="15"/>
      <c r="X8" s="15"/>
      <c r="Y8" s="15"/>
      <c r="Z8" s="15"/>
      <c r="AA8" s="15"/>
    </row>
    <row r="9" spans="1:27" ht="12.95" customHeight="1" x14ac:dyDescent="0.25">
      <c r="A9" s="478" t="s">
        <v>310</v>
      </c>
      <c r="B9" s="486">
        <v>14300</v>
      </c>
      <c r="C9" s="545" t="str">
        <f>Hours!I5</f>
        <v xml:space="preserve"> </v>
      </c>
      <c r="D9" s="480">
        <v>0</v>
      </c>
      <c r="E9" s="506">
        <f t="shared" si="8"/>
        <v>0</v>
      </c>
      <c r="F9" s="480">
        <v>8</v>
      </c>
      <c r="G9" s="498">
        <v>0.35</v>
      </c>
      <c r="H9" s="501">
        <f t="shared" si="9"/>
        <v>0</v>
      </c>
      <c r="I9" s="499">
        <v>0.1</v>
      </c>
      <c r="J9" s="500">
        <f t="shared" si="10"/>
        <v>0.18744401757481335</v>
      </c>
      <c r="K9" s="501">
        <f t="shared" si="11"/>
        <v>0</v>
      </c>
      <c r="L9" s="501">
        <f t="shared" si="12"/>
        <v>0</v>
      </c>
      <c r="M9" s="501">
        <f t="shared" si="13"/>
        <v>0</v>
      </c>
      <c r="N9" s="501">
        <f t="shared" si="0"/>
        <v>0</v>
      </c>
      <c r="O9" s="504">
        <v>0.01</v>
      </c>
      <c r="P9" s="501">
        <f t="shared" si="14"/>
        <v>0</v>
      </c>
      <c r="Q9" s="510">
        <v>0.2</v>
      </c>
      <c r="R9" s="511">
        <v>46</v>
      </c>
      <c r="S9" s="512">
        <f t="shared" si="15"/>
        <v>9.1999999999999998E-3</v>
      </c>
      <c r="T9" s="501">
        <f t="shared" si="16"/>
        <v>0</v>
      </c>
      <c r="U9" s="15"/>
      <c r="V9" s="480"/>
      <c r="W9" s="15"/>
      <c r="X9" s="15"/>
      <c r="Y9" s="15"/>
      <c r="Z9" s="15"/>
      <c r="AA9" s="15"/>
    </row>
    <row r="10" spans="1:27" ht="12.95" customHeight="1" x14ac:dyDescent="0.25">
      <c r="A10" s="478" t="s">
        <v>311</v>
      </c>
      <c r="B10" s="486">
        <v>67900</v>
      </c>
      <c r="C10" s="545" t="str">
        <f>Hours!I6</f>
        <v xml:space="preserve"> </v>
      </c>
      <c r="D10" s="480">
        <v>0</v>
      </c>
      <c r="E10" s="506">
        <f t="shared" si="8"/>
        <v>0</v>
      </c>
      <c r="F10" s="480">
        <v>8</v>
      </c>
      <c r="G10" s="498">
        <v>0.35</v>
      </c>
      <c r="H10" s="501">
        <f t="shared" si="9"/>
        <v>0</v>
      </c>
      <c r="I10" s="499">
        <v>0.1</v>
      </c>
      <c r="J10" s="500">
        <f t="shared" si="10"/>
        <v>0.18744401757481335</v>
      </c>
      <c r="K10" s="501">
        <f t="shared" si="11"/>
        <v>0</v>
      </c>
      <c r="L10" s="501">
        <f t="shared" si="12"/>
        <v>0</v>
      </c>
      <c r="M10" s="501">
        <f t="shared" si="13"/>
        <v>0</v>
      </c>
      <c r="N10" s="501">
        <f t="shared" si="0"/>
        <v>0</v>
      </c>
      <c r="O10" s="504">
        <v>0.01</v>
      </c>
      <c r="P10" s="501">
        <f t="shared" si="14"/>
        <v>0</v>
      </c>
      <c r="Q10" s="510">
        <v>0.2</v>
      </c>
      <c r="R10" s="511">
        <v>46</v>
      </c>
      <c r="S10" s="512">
        <f t="shared" si="15"/>
        <v>9.1999999999999998E-3</v>
      </c>
      <c r="T10" s="501">
        <f t="shared" si="16"/>
        <v>0</v>
      </c>
      <c r="U10" s="15"/>
      <c r="V10" s="480"/>
      <c r="W10" s="15"/>
      <c r="X10" s="15"/>
      <c r="Y10" s="15"/>
      <c r="Z10" s="15"/>
      <c r="AA10" s="15"/>
    </row>
    <row r="11" spans="1:27" ht="12.95" customHeight="1" x14ac:dyDescent="0.25">
      <c r="A11" s="478" t="s">
        <v>312</v>
      </c>
      <c r="B11" s="486">
        <v>40400</v>
      </c>
      <c r="C11" s="545" t="str">
        <f>Hours!I7</f>
        <v xml:space="preserve"> </v>
      </c>
      <c r="D11" s="480">
        <v>0</v>
      </c>
      <c r="E11" s="506">
        <f t="shared" si="8"/>
        <v>0</v>
      </c>
      <c r="F11" s="480">
        <v>8</v>
      </c>
      <c r="G11" s="498">
        <v>0.35</v>
      </c>
      <c r="H11" s="501">
        <f t="shared" si="9"/>
        <v>0</v>
      </c>
      <c r="I11" s="499">
        <v>0.1</v>
      </c>
      <c r="J11" s="500">
        <f t="shared" si="10"/>
        <v>0.18744401757481335</v>
      </c>
      <c r="K11" s="501">
        <f t="shared" si="11"/>
        <v>0</v>
      </c>
      <c r="L11" s="501">
        <f t="shared" si="12"/>
        <v>0</v>
      </c>
      <c r="M11" s="501">
        <f t="shared" si="13"/>
        <v>0</v>
      </c>
      <c r="N11" s="501">
        <f t="shared" si="0"/>
        <v>0</v>
      </c>
      <c r="O11" s="504">
        <v>0.01</v>
      </c>
      <c r="P11" s="501">
        <f t="shared" si="14"/>
        <v>0</v>
      </c>
      <c r="Q11" s="510">
        <v>0.2</v>
      </c>
      <c r="R11" s="511">
        <v>46</v>
      </c>
      <c r="S11" s="512">
        <f t="shared" si="15"/>
        <v>9.1999999999999998E-3</v>
      </c>
      <c r="T11" s="501">
        <f t="shared" si="16"/>
        <v>0</v>
      </c>
      <c r="U11" s="15"/>
      <c r="V11" s="480"/>
      <c r="W11" s="15"/>
      <c r="X11" s="15"/>
      <c r="Y11" s="15"/>
      <c r="Z11" s="15"/>
      <c r="AA11" s="15"/>
    </row>
    <row r="12" spans="1:27" ht="12.95" customHeight="1" x14ac:dyDescent="0.25">
      <c r="A12" s="478" t="s">
        <v>196</v>
      </c>
      <c r="B12" s="486">
        <v>68700</v>
      </c>
      <c r="C12" s="545">
        <f>Hours!I8</f>
        <v>121.3235294117647</v>
      </c>
      <c r="D12" s="480">
        <v>0</v>
      </c>
      <c r="E12" s="506">
        <f t="shared" si="8"/>
        <v>0</v>
      </c>
      <c r="F12" s="480">
        <v>8</v>
      </c>
      <c r="G12" s="498">
        <v>0.35</v>
      </c>
      <c r="H12" s="501">
        <f t="shared" si="9"/>
        <v>0</v>
      </c>
      <c r="I12" s="499">
        <v>0.1</v>
      </c>
      <c r="J12" s="500">
        <f t="shared" si="10"/>
        <v>0.18744401757481335</v>
      </c>
      <c r="K12" s="501">
        <f t="shared" si="11"/>
        <v>0</v>
      </c>
      <c r="L12" s="501">
        <f t="shared" si="12"/>
        <v>0</v>
      </c>
      <c r="M12" s="501">
        <f t="shared" si="13"/>
        <v>0</v>
      </c>
      <c r="N12" s="501">
        <f t="shared" si="0"/>
        <v>0</v>
      </c>
      <c r="O12" s="504">
        <v>0.01</v>
      </c>
      <c r="P12" s="501">
        <f t="shared" si="14"/>
        <v>0</v>
      </c>
      <c r="Q12" s="510">
        <v>0.2</v>
      </c>
      <c r="R12" s="511">
        <v>46</v>
      </c>
      <c r="S12" s="512">
        <f t="shared" si="15"/>
        <v>9.1999999999999998E-3</v>
      </c>
      <c r="T12" s="501">
        <f t="shared" si="16"/>
        <v>0</v>
      </c>
      <c r="U12" s="15"/>
      <c r="V12" s="480"/>
      <c r="W12" s="15"/>
      <c r="X12" s="15"/>
      <c r="Y12" s="15"/>
      <c r="Z12" s="15"/>
      <c r="AA12" s="15"/>
    </row>
    <row r="13" spans="1:27" ht="12.95" customHeight="1" x14ac:dyDescent="0.25">
      <c r="A13" s="478" t="s">
        <v>197</v>
      </c>
      <c r="B13" s="486">
        <v>51400</v>
      </c>
      <c r="C13" s="545">
        <f>Hours!I9</f>
        <v>168.85964912280701</v>
      </c>
      <c r="D13" s="480">
        <v>0</v>
      </c>
      <c r="E13" s="506">
        <f t="shared" si="8"/>
        <v>0</v>
      </c>
      <c r="F13" s="480">
        <v>8</v>
      </c>
      <c r="G13" s="498">
        <v>0.35</v>
      </c>
      <c r="H13" s="501">
        <f t="shared" si="9"/>
        <v>0</v>
      </c>
      <c r="I13" s="499">
        <v>0.1</v>
      </c>
      <c r="J13" s="500">
        <f t="shared" si="10"/>
        <v>0.18744401757481335</v>
      </c>
      <c r="K13" s="501">
        <f t="shared" si="11"/>
        <v>0</v>
      </c>
      <c r="L13" s="501">
        <f t="shared" si="12"/>
        <v>0</v>
      </c>
      <c r="M13" s="501">
        <f t="shared" si="13"/>
        <v>0</v>
      </c>
      <c r="N13" s="501">
        <f t="shared" si="0"/>
        <v>0</v>
      </c>
      <c r="O13" s="504">
        <v>0.01</v>
      </c>
      <c r="P13" s="501">
        <f t="shared" si="14"/>
        <v>0</v>
      </c>
      <c r="Q13" s="510">
        <v>0.2</v>
      </c>
      <c r="R13" s="511">
        <v>46</v>
      </c>
      <c r="S13" s="512">
        <f t="shared" si="15"/>
        <v>9.1999999999999998E-3</v>
      </c>
      <c r="T13" s="501">
        <f t="shared" si="16"/>
        <v>0</v>
      </c>
      <c r="U13" s="15"/>
      <c r="V13" s="480"/>
      <c r="W13" s="15"/>
      <c r="X13" s="15"/>
      <c r="Y13" s="15"/>
      <c r="Z13" s="15"/>
      <c r="AA13" s="15"/>
    </row>
    <row r="14" spans="1:27" ht="12.95" customHeight="1" x14ac:dyDescent="0.25">
      <c r="A14" s="478" t="s">
        <v>198</v>
      </c>
      <c r="B14" s="486">
        <v>54500</v>
      </c>
      <c r="C14" s="545" t="str">
        <f>Hours!I10</f>
        <v xml:space="preserve"> </v>
      </c>
      <c r="D14" s="480">
        <v>0</v>
      </c>
      <c r="E14" s="506">
        <f t="shared" si="8"/>
        <v>0</v>
      </c>
      <c r="F14" s="480">
        <v>8</v>
      </c>
      <c r="G14" s="498">
        <v>0.35</v>
      </c>
      <c r="H14" s="501">
        <f t="shared" si="9"/>
        <v>0</v>
      </c>
      <c r="I14" s="499">
        <v>0.1</v>
      </c>
      <c r="J14" s="500">
        <f t="shared" si="10"/>
        <v>0.18744401757481335</v>
      </c>
      <c r="K14" s="501">
        <f t="shared" si="11"/>
        <v>0</v>
      </c>
      <c r="L14" s="501">
        <f t="shared" si="12"/>
        <v>0</v>
      </c>
      <c r="M14" s="501">
        <f t="shared" si="13"/>
        <v>0</v>
      </c>
      <c r="N14" s="501">
        <f t="shared" si="0"/>
        <v>0</v>
      </c>
      <c r="O14" s="504">
        <v>0.01</v>
      </c>
      <c r="P14" s="501">
        <f t="shared" si="14"/>
        <v>0</v>
      </c>
      <c r="Q14" s="510">
        <v>0.2</v>
      </c>
      <c r="R14" s="511">
        <v>46</v>
      </c>
      <c r="S14" s="512">
        <f t="shared" si="15"/>
        <v>9.1999999999999998E-3</v>
      </c>
      <c r="T14" s="501">
        <f t="shared" si="16"/>
        <v>0</v>
      </c>
      <c r="U14" s="15"/>
      <c r="V14" s="480"/>
      <c r="W14" s="15"/>
      <c r="X14" s="15"/>
      <c r="Y14" s="15"/>
      <c r="Z14" s="15"/>
      <c r="AA14" s="15"/>
    </row>
    <row r="15" spans="1:27" ht="12.95" customHeight="1" x14ac:dyDescent="0.25">
      <c r="A15" s="478" t="s">
        <v>199</v>
      </c>
      <c r="B15" s="486">
        <v>21300</v>
      </c>
      <c r="C15" s="545" t="str">
        <f>Hours!I11</f>
        <v xml:space="preserve"> </v>
      </c>
      <c r="D15" s="480">
        <v>0</v>
      </c>
      <c r="E15" s="506">
        <f t="shared" si="8"/>
        <v>0</v>
      </c>
      <c r="F15" s="480">
        <v>8</v>
      </c>
      <c r="G15" s="498">
        <v>0.35</v>
      </c>
      <c r="H15" s="501">
        <f t="shared" si="9"/>
        <v>0</v>
      </c>
      <c r="I15" s="499">
        <v>0.1</v>
      </c>
      <c r="J15" s="500">
        <f t="shared" si="10"/>
        <v>0.18744401757481335</v>
      </c>
      <c r="K15" s="501">
        <f t="shared" si="11"/>
        <v>0</v>
      </c>
      <c r="L15" s="501">
        <f t="shared" si="12"/>
        <v>0</v>
      </c>
      <c r="M15" s="501">
        <f t="shared" si="13"/>
        <v>0</v>
      </c>
      <c r="N15" s="501">
        <f t="shared" si="0"/>
        <v>0</v>
      </c>
      <c r="O15" s="504">
        <v>0.01</v>
      </c>
      <c r="P15" s="501">
        <f t="shared" si="14"/>
        <v>0</v>
      </c>
      <c r="Q15" s="510">
        <v>0.2</v>
      </c>
      <c r="R15" s="511">
        <v>46</v>
      </c>
      <c r="S15" s="512">
        <f t="shared" si="15"/>
        <v>9.1999999999999998E-3</v>
      </c>
      <c r="T15" s="501">
        <f t="shared" si="16"/>
        <v>0</v>
      </c>
      <c r="U15" s="15"/>
      <c r="V15" s="480"/>
      <c r="W15" s="15"/>
      <c r="X15" s="15"/>
      <c r="Y15" s="15"/>
      <c r="Z15" s="15"/>
      <c r="AA15" s="15"/>
    </row>
    <row r="16" spans="1:27" ht="12.95" customHeight="1" x14ac:dyDescent="0.25">
      <c r="A16" s="478" t="s">
        <v>200</v>
      </c>
      <c r="B16" s="486">
        <v>19600</v>
      </c>
      <c r="C16" s="545">
        <f>Hours!I12</f>
        <v>34.055727554179569</v>
      </c>
      <c r="D16" s="480">
        <v>0</v>
      </c>
      <c r="E16" s="506">
        <f t="shared" si="8"/>
        <v>0</v>
      </c>
      <c r="F16" s="480">
        <v>8</v>
      </c>
      <c r="G16" s="498">
        <v>0.34</v>
      </c>
      <c r="H16" s="501">
        <f t="shared" si="9"/>
        <v>0</v>
      </c>
      <c r="I16" s="499">
        <v>0.1</v>
      </c>
      <c r="J16" s="500">
        <f t="shared" si="10"/>
        <v>0.18744401757481335</v>
      </c>
      <c r="K16" s="501">
        <f t="shared" si="11"/>
        <v>0</v>
      </c>
      <c r="L16" s="501">
        <f t="shared" si="12"/>
        <v>0</v>
      </c>
      <c r="M16" s="501">
        <f t="shared" si="13"/>
        <v>0</v>
      </c>
      <c r="N16" s="501">
        <f t="shared" si="0"/>
        <v>0</v>
      </c>
      <c r="O16" s="504">
        <v>0.01</v>
      </c>
      <c r="P16" s="501">
        <f t="shared" si="14"/>
        <v>0</v>
      </c>
      <c r="Q16" s="510">
        <v>0.2</v>
      </c>
      <c r="R16" s="511">
        <v>46</v>
      </c>
      <c r="S16" s="512">
        <f t="shared" si="15"/>
        <v>9.1999999999999998E-3</v>
      </c>
      <c r="T16" s="501">
        <f t="shared" si="16"/>
        <v>0</v>
      </c>
      <c r="U16" s="15"/>
      <c r="V16" s="480"/>
      <c r="W16" s="15"/>
      <c r="X16" s="15"/>
      <c r="Y16" s="15"/>
      <c r="Z16" s="15"/>
      <c r="AA16" s="15"/>
    </row>
    <row r="17" spans="1:27" ht="12.95" customHeight="1" x14ac:dyDescent="0.25">
      <c r="A17" s="478" t="s">
        <v>201</v>
      </c>
      <c r="B17" s="486">
        <v>36700</v>
      </c>
      <c r="C17" s="545" t="str">
        <f>Hours!I13</f>
        <v xml:space="preserve"> </v>
      </c>
      <c r="D17" s="480">
        <v>0</v>
      </c>
      <c r="E17" s="506">
        <f t="shared" si="8"/>
        <v>0</v>
      </c>
      <c r="F17" s="480">
        <v>8</v>
      </c>
      <c r="G17" s="498">
        <v>0.35</v>
      </c>
      <c r="H17" s="501">
        <f t="shared" si="9"/>
        <v>0</v>
      </c>
      <c r="I17" s="499">
        <v>0.1</v>
      </c>
      <c r="J17" s="500">
        <f t="shared" si="10"/>
        <v>0.18744401757481335</v>
      </c>
      <c r="K17" s="501">
        <f t="shared" si="11"/>
        <v>0</v>
      </c>
      <c r="L17" s="501">
        <f t="shared" si="12"/>
        <v>0</v>
      </c>
      <c r="M17" s="501">
        <f t="shared" si="13"/>
        <v>0</v>
      </c>
      <c r="N17" s="501">
        <f t="shared" si="0"/>
        <v>0</v>
      </c>
      <c r="O17" s="504">
        <v>0.01</v>
      </c>
      <c r="P17" s="501">
        <f t="shared" si="14"/>
        <v>0</v>
      </c>
      <c r="Q17" s="510">
        <v>0.2</v>
      </c>
      <c r="R17" s="511">
        <v>46</v>
      </c>
      <c r="S17" s="512">
        <f t="shared" si="15"/>
        <v>9.1999999999999998E-3</v>
      </c>
      <c r="T17" s="501">
        <f t="shared" si="16"/>
        <v>0</v>
      </c>
      <c r="U17" s="15"/>
      <c r="V17" s="480"/>
      <c r="W17" s="15"/>
      <c r="X17" s="15"/>
      <c r="Y17" s="15"/>
      <c r="Z17" s="15"/>
      <c r="AA17" s="15"/>
    </row>
    <row r="18" spans="1:27" ht="12.95" customHeight="1" x14ac:dyDescent="0.25">
      <c r="A18" s="478" t="s">
        <v>202</v>
      </c>
      <c r="B18" s="486">
        <v>6480</v>
      </c>
      <c r="C18" s="545">
        <f>Hours!I14</f>
        <v>3.3287133264930304</v>
      </c>
      <c r="D18" s="480">
        <v>0</v>
      </c>
      <c r="E18" s="506">
        <f t="shared" si="8"/>
        <v>0</v>
      </c>
      <c r="F18" s="480">
        <v>8</v>
      </c>
      <c r="G18" s="498">
        <v>0.35</v>
      </c>
      <c r="H18" s="501">
        <f t="shared" si="9"/>
        <v>0</v>
      </c>
      <c r="I18" s="499">
        <v>0.1</v>
      </c>
      <c r="J18" s="500">
        <f t="shared" si="10"/>
        <v>0.18744401757481335</v>
      </c>
      <c r="K18" s="501">
        <f t="shared" si="11"/>
        <v>0</v>
      </c>
      <c r="L18" s="501">
        <f t="shared" si="12"/>
        <v>0</v>
      </c>
      <c r="M18" s="501">
        <f t="shared" si="13"/>
        <v>0</v>
      </c>
      <c r="N18" s="501">
        <f t="shared" si="0"/>
        <v>0</v>
      </c>
      <c r="O18" s="504">
        <v>0.01</v>
      </c>
      <c r="P18" s="501">
        <f t="shared" si="14"/>
        <v>0</v>
      </c>
      <c r="Q18" s="510">
        <v>0.2</v>
      </c>
      <c r="R18" s="511">
        <v>46</v>
      </c>
      <c r="S18" s="512">
        <f t="shared" si="15"/>
        <v>9.1999999999999998E-3</v>
      </c>
      <c r="T18" s="501">
        <f t="shared" si="16"/>
        <v>0</v>
      </c>
      <c r="U18" s="15"/>
      <c r="V18" s="480"/>
      <c r="W18" s="15"/>
      <c r="X18" s="15"/>
      <c r="Y18" s="15"/>
      <c r="Z18" s="15"/>
      <c r="AA18" s="15"/>
    </row>
    <row r="19" spans="1:27" ht="12.95" customHeight="1" x14ac:dyDescent="0.25">
      <c r="A19" s="478" t="s">
        <v>313</v>
      </c>
      <c r="B19" s="486">
        <v>56000</v>
      </c>
      <c r="C19" s="545" t="str">
        <f>Hours!I15</f>
        <v xml:space="preserve"> </v>
      </c>
      <c r="D19" s="480">
        <v>0</v>
      </c>
      <c r="E19" s="506">
        <f t="shared" si="8"/>
        <v>0</v>
      </c>
      <c r="F19" s="480">
        <v>8</v>
      </c>
      <c r="G19" s="498">
        <v>0.35</v>
      </c>
      <c r="H19" s="501">
        <f t="shared" si="9"/>
        <v>0</v>
      </c>
      <c r="I19" s="499">
        <v>0.1</v>
      </c>
      <c r="J19" s="500">
        <f t="shared" si="10"/>
        <v>0.18744401757481335</v>
      </c>
      <c r="K19" s="501">
        <f t="shared" si="11"/>
        <v>0</v>
      </c>
      <c r="L19" s="501">
        <f t="shared" si="12"/>
        <v>0</v>
      </c>
      <c r="M19" s="501">
        <f t="shared" si="13"/>
        <v>0</v>
      </c>
      <c r="N19" s="501">
        <f t="shared" si="0"/>
        <v>0</v>
      </c>
      <c r="O19" s="504">
        <v>0.01</v>
      </c>
      <c r="P19" s="501">
        <f t="shared" si="14"/>
        <v>0</v>
      </c>
      <c r="Q19" s="510">
        <v>0.2</v>
      </c>
      <c r="R19" s="511">
        <v>46</v>
      </c>
      <c r="S19" s="512">
        <f t="shared" si="15"/>
        <v>9.1999999999999998E-3</v>
      </c>
      <c r="T19" s="501">
        <f t="shared" si="16"/>
        <v>0</v>
      </c>
      <c r="U19" s="15"/>
      <c r="V19" s="480"/>
      <c r="W19" s="15"/>
      <c r="X19" s="15"/>
      <c r="Y19" s="15"/>
      <c r="Z19" s="15"/>
      <c r="AA19" s="15"/>
    </row>
    <row r="20" spans="1:27" ht="12.95" customHeight="1" x14ac:dyDescent="0.25">
      <c r="A20" s="478" t="s">
        <v>203</v>
      </c>
      <c r="B20" s="486">
        <v>43000</v>
      </c>
      <c r="C20" s="545" t="str">
        <f>Hours!I16</f>
        <v xml:space="preserve"> </v>
      </c>
      <c r="D20" s="480">
        <v>0</v>
      </c>
      <c r="E20" s="506">
        <f t="shared" si="8"/>
        <v>0</v>
      </c>
      <c r="F20" s="480">
        <v>8</v>
      </c>
      <c r="G20" s="498">
        <v>0.35</v>
      </c>
      <c r="H20" s="501">
        <f t="shared" si="9"/>
        <v>0</v>
      </c>
      <c r="I20" s="499">
        <v>0.1</v>
      </c>
      <c r="J20" s="500">
        <f t="shared" si="10"/>
        <v>0.18744401757481335</v>
      </c>
      <c r="K20" s="501">
        <f t="shared" si="11"/>
        <v>0</v>
      </c>
      <c r="L20" s="501">
        <f t="shared" si="12"/>
        <v>0</v>
      </c>
      <c r="M20" s="501">
        <f t="shared" si="13"/>
        <v>0</v>
      </c>
      <c r="N20" s="501">
        <f t="shared" si="0"/>
        <v>0</v>
      </c>
      <c r="O20" s="504">
        <v>0.01</v>
      </c>
      <c r="P20" s="501">
        <f t="shared" si="14"/>
        <v>0</v>
      </c>
      <c r="Q20" s="510">
        <v>0.2</v>
      </c>
      <c r="R20" s="511">
        <v>46</v>
      </c>
      <c r="S20" s="512">
        <f t="shared" si="15"/>
        <v>9.1999999999999998E-3</v>
      </c>
      <c r="T20" s="501">
        <f t="shared" si="16"/>
        <v>0</v>
      </c>
      <c r="U20" s="15"/>
      <c r="V20" s="480"/>
      <c r="W20" s="15"/>
      <c r="X20" s="15"/>
      <c r="Y20" s="15"/>
      <c r="Z20" s="15"/>
      <c r="AA20" s="15"/>
    </row>
    <row r="21" spans="1:27" ht="12.95" customHeight="1" x14ac:dyDescent="0.25">
      <c r="A21" s="478" t="s">
        <v>204</v>
      </c>
      <c r="B21" s="486">
        <v>60600</v>
      </c>
      <c r="C21" s="545">
        <f>Hours!I17</f>
        <v>34.663865546218489</v>
      </c>
      <c r="D21" s="480">
        <v>0</v>
      </c>
      <c r="E21" s="506">
        <f t="shared" si="8"/>
        <v>0</v>
      </c>
      <c r="F21" s="480">
        <v>8</v>
      </c>
      <c r="G21" s="498">
        <v>0.35</v>
      </c>
      <c r="H21" s="501">
        <f t="shared" si="9"/>
        <v>0</v>
      </c>
      <c r="I21" s="499">
        <v>0.1</v>
      </c>
      <c r="J21" s="500">
        <f t="shared" si="10"/>
        <v>0.18744401757481335</v>
      </c>
      <c r="K21" s="501">
        <f t="shared" si="11"/>
        <v>0</v>
      </c>
      <c r="L21" s="501">
        <f t="shared" si="12"/>
        <v>0</v>
      </c>
      <c r="M21" s="501">
        <f t="shared" si="13"/>
        <v>0</v>
      </c>
      <c r="N21" s="501">
        <f t="shared" si="0"/>
        <v>0</v>
      </c>
      <c r="O21" s="504">
        <v>0.01</v>
      </c>
      <c r="P21" s="501">
        <f t="shared" si="14"/>
        <v>0</v>
      </c>
      <c r="Q21" s="510">
        <v>0.2</v>
      </c>
      <c r="R21" s="511">
        <v>46</v>
      </c>
      <c r="S21" s="512">
        <f t="shared" si="15"/>
        <v>9.1999999999999998E-3</v>
      </c>
      <c r="T21" s="501">
        <f t="shared" si="16"/>
        <v>0</v>
      </c>
      <c r="U21" s="15"/>
      <c r="V21" s="480"/>
      <c r="W21" s="15"/>
      <c r="X21" s="15"/>
      <c r="Y21" s="15"/>
      <c r="Z21" s="15"/>
      <c r="AA21" s="15"/>
    </row>
    <row r="22" spans="1:27" ht="12.95" customHeight="1" x14ac:dyDescent="0.25">
      <c r="A22" s="478" t="s">
        <v>314</v>
      </c>
      <c r="B22" s="486">
        <v>28400</v>
      </c>
      <c r="C22" s="545" t="str">
        <f>Hours!I18</f>
        <v xml:space="preserve"> </v>
      </c>
      <c r="D22" s="480">
        <v>0</v>
      </c>
      <c r="E22" s="506">
        <f t="shared" si="8"/>
        <v>0</v>
      </c>
      <c r="F22" s="480">
        <v>8</v>
      </c>
      <c r="G22" s="498">
        <v>0.35</v>
      </c>
      <c r="H22" s="501">
        <f t="shared" si="9"/>
        <v>0</v>
      </c>
      <c r="I22" s="499">
        <v>0.1</v>
      </c>
      <c r="J22" s="500">
        <f t="shared" si="10"/>
        <v>0.18744401757481335</v>
      </c>
      <c r="K22" s="501">
        <f t="shared" si="11"/>
        <v>0</v>
      </c>
      <c r="L22" s="501">
        <f t="shared" si="12"/>
        <v>0</v>
      </c>
      <c r="M22" s="501">
        <f t="shared" si="13"/>
        <v>0</v>
      </c>
      <c r="N22" s="501">
        <f t="shared" si="0"/>
        <v>0</v>
      </c>
      <c r="O22" s="504">
        <v>0.01</v>
      </c>
      <c r="P22" s="501">
        <f t="shared" si="14"/>
        <v>0</v>
      </c>
      <c r="Q22" s="510">
        <v>0.2</v>
      </c>
      <c r="R22" s="511">
        <v>46</v>
      </c>
      <c r="S22" s="512">
        <f t="shared" si="15"/>
        <v>9.1999999999999998E-3</v>
      </c>
      <c r="T22" s="501">
        <f t="shared" si="16"/>
        <v>0</v>
      </c>
      <c r="U22" s="15"/>
      <c r="V22" s="480"/>
      <c r="W22" s="15"/>
      <c r="X22" s="15"/>
      <c r="Y22" s="15"/>
      <c r="Z22" s="15"/>
      <c r="AA22" s="15"/>
    </row>
    <row r="23" spans="1:27" ht="12.95" customHeight="1" x14ac:dyDescent="0.25">
      <c r="A23" s="478" t="s">
        <v>205</v>
      </c>
      <c r="B23" s="486">
        <v>13200</v>
      </c>
      <c r="C23" s="545" t="str">
        <f>Hours!I19</f>
        <v xml:space="preserve"> </v>
      </c>
      <c r="D23" s="480">
        <v>0</v>
      </c>
      <c r="E23" s="506">
        <f t="shared" si="8"/>
        <v>0</v>
      </c>
      <c r="F23" s="480">
        <v>8</v>
      </c>
      <c r="G23" s="498">
        <v>0.44</v>
      </c>
      <c r="H23" s="501">
        <f t="shared" si="9"/>
        <v>0</v>
      </c>
      <c r="I23" s="499">
        <v>0.1</v>
      </c>
      <c r="J23" s="500">
        <f t="shared" si="10"/>
        <v>0.18744401757481335</v>
      </c>
      <c r="K23" s="501">
        <f t="shared" si="11"/>
        <v>0</v>
      </c>
      <c r="L23" s="501">
        <f t="shared" si="12"/>
        <v>0</v>
      </c>
      <c r="M23" s="501">
        <f t="shared" si="13"/>
        <v>0</v>
      </c>
      <c r="N23" s="501">
        <f t="shared" si="0"/>
        <v>0</v>
      </c>
      <c r="O23" s="504">
        <v>0.01</v>
      </c>
      <c r="P23" s="501">
        <f t="shared" si="14"/>
        <v>0</v>
      </c>
      <c r="Q23" s="510">
        <v>0.2</v>
      </c>
      <c r="R23" s="511">
        <v>46</v>
      </c>
      <c r="S23" s="512">
        <f t="shared" si="15"/>
        <v>9.1999999999999998E-3</v>
      </c>
      <c r="T23" s="501">
        <f t="shared" si="16"/>
        <v>0</v>
      </c>
      <c r="U23" s="15"/>
      <c r="V23" s="480"/>
      <c r="W23" s="15"/>
      <c r="X23" s="15"/>
      <c r="Y23" s="15"/>
      <c r="Z23" s="15"/>
      <c r="AA23" s="15"/>
    </row>
    <row r="24" spans="1:27" ht="12.95" customHeight="1" x14ac:dyDescent="0.25">
      <c r="A24" s="478" t="s">
        <v>206</v>
      </c>
      <c r="B24" s="486">
        <v>17900</v>
      </c>
      <c r="C24" s="545" t="str">
        <f>Hours!I20</f>
        <v xml:space="preserve"> </v>
      </c>
      <c r="D24" s="480">
        <v>0</v>
      </c>
      <c r="E24" s="506">
        <f t="shared" si="8"/>
        <v>0</v>
      </c>
      <c r="F24" s="480">
        <v>8</v>
      </c>
      <c r="G24" s="498">
        <v>0.44</v>
      </c>
      <c r="H24" s="501">
        <f t="shared" si="9"/>
        <v>0</v>
      </c>
      <c r="I24" s="499">
        <v>0.1</v>
      </c>
      <c r="J24" s="500">
        <f t="shared" si="10"/>
        <v>0.18744401757481335</v>
      </c>
      <c r="K24" s="501">
        <f t="shared" si="11"/>
        <v>0</v>
      </c>
      <c r="L24" s="501">
        <f t="shared" si="12"/>
        <v>0</v>
      </c>
      <c r="M24" s="501">
        <f t="shared" si="13"/>
        <v>0</v>
      </c>
      <c r="N24" s="501">
        <f t="shared" si="0"/>
        <v>0</v>
      </c>
      <c r="O24" s="504">
        <v>0.01</v>
      </c>
      <c r="P24" s="501">
        <f t="shared" si="14"/>
        <v>0</v>
      </c>
      <c r="Q24" s="510">
        <v>0.2</v>
      </c>
      <c r="R24" s="511">
        <v>46</v>
      </c>
      <c r="S24" s="512">
        <f t="shared" si="15"/>
        <v>9.1999999999999998E-3</v>
      </c>
      <c r="T24" s="501">
        <f t="shared" si="16"/>
        <v>0</v>
      </c>
      <c r="U24" s="15"/>
      <c r="V24" s="480"/>
      <c r="W24" s="15"/>
      <c r="X24" s="15"/>
      <c r="Y24" s="15"/>
      <c r="Z24" s="15"/>
      <c r="AA24" s="15"/>
    </row>
    <row r="25" spans="1:27" ht="12.95" customHeight="1" x14ac:dyDescent="0.25">
      <c r="A25" s="478" t="s">
        <v>207</v>
      </c>
      <c r="B25" s="486">
        <v>11100</v>
      </c>
      <c r="C25" s="545">
        <f>Hours!I21</f>
        <v>53.734988805210662</v>
      </c>
      <c r="D25" s="480">
        <v>0</v>
      </c>
      <c r="E25" s="506">
        <f t="shared" si="8"/>
        <v>0</v>
      </c>
      <c r="F25" s="480">
        <v>8</v>
      </c>
      <c r="G25" s="498">
        <v>0.34</v>
      </c>
      <c r="H25" s="501">
        <f t="shared" si="9"/>
        <v>0</v>
      </c>
      <c r="I25" s="499">
        <v>0.1</v>
      </c>
      <c r="J25" s="500">
        <f t="shared" si="10"/>
        <v>0.18744401757481335</v>
      </c>
      <c r="K25" s="501">
        <f t="shared" si="11"/>
        <v>0</v>
      </c>
      <c r="L25" s="501">
        <f t="shared" si="12"/>
        <v>0</v>
      </c>
      <c r="M25" s="501">
        <f t="shared" si="13"/>
        <v>0</v>
      </c>
      <c r="N25" s="501">
        <f t="shared" si="0"/>
        <v>0</v>
      </c>
      <c r="O25" s="504">
        <v>0.01</v>
      </c>
      <c r="P25" s="501">
        <f t="shared" si="14"/>
        <v>0</v>
      </c>
      <c r="Q25" s="510">
        <v>0.2</v>
      </c>
      <c r="R25" s="511">
        <v>46</v>
      </c>
      <c r="S25" s="512">
        <f t="shared" si="15"/>
        <v>9.1999999999999998E-3</v>
      </c>
      <c r="T25" s="501">
        <f t="shared" si="16"/>
        <v>0</v>
      </c>
      <c r="U25" s="15"/>
      <c r="V25" s="480"/>
      <c r="W25" s="15"/>
      <c r="X25" s="15"/>
      <c r="Y25" s="15"/>
      <c r="Z25" s="15"/>
      <c r="AA25" s="15"/>
    </row>
    <row r="26" spans="1:27" ht="12.95" customHeight="1" x14ac:dyDescent="0.25">
      <c r="A26" s="478" t="s">
        <v>208</v>
      </c>
      <c r="B26" s="486">
        <v>14500</v>
      </c>
      <c r="C26" s="545">
        <f>Hours!I22</f>
        <v>86.428571428571431</v>
      </c>
      <c r="D26" s="480">
        <v>0</v>
      </c>
      <c r="E26" s="506">
        <f t="shared" si="8"/>
        <v>0</v>
      </c>
      <c r="F26" s="480">
        <v>8</v>
      </c>
      <c r="G26" s="498">
        <v>0.4</v>
      </c>
      <c r="H26" s="501">
        <f t="shared" si="9"/>
        <v>0</v>
      </c>
      <c r="I26" s="499">
        <v>0.1</v>
      </c>
      <c r="J26" s="500">
        <f t="shared" si="10"/>
        <v>0.18744401757481335</v>
      </c>
      <c r="K26" s="501">
        <f t="shared" si="11"/>
        <v>0</v>
      </c>
      <c r="L26" s="501">
        <f t="shared" si="12"/>
        <v>0</v>
      </c>
      <c r="M26" s="501">
        <f t="shared" si="13"/>
        <v>0</v>
      </c>
      <c r="N26" s="501">
        <f t="shared" si="0"/>
        <v>0</v>
      </c>
      <c r="O26" s="504">
        <v>0.01</v>
      </c>
      <c r="P26" s="501">
        <f t="shared" si="14"/>
        <v>0</v>
      </c>
      <c r="Q26" s="510">
        <v>0.2</v>
      </c>
      <c r="R26" s="511">
        <v>46</v>
      </c>
      <c r="S26" s="512">
        <f t="shared" si="15"/>
        <v>9.1999999999999998E-3</v>
      </c>
      <c r="T26" s="501">
        <f t="shared" si="16"/>
        <v>0</v>
      </c>
      <c r="U26" s="15"/>
      <c r="V26" s="480"/>
      <c r="W26" s="15"/>
      <c r="X26" s="15"/>
      <c r="Y26" s="15"/>
      <c r="Z26" s="15"/>
      <c r="AA26" s="15"/>
    </row>
    <row r="27" spans="1:27" ht="12.95" customHeight="1" x14ac:dyDescent="0.25">
      <c r="A27" s="478" t="s">
        <v>209</v>
      </c>
      <c r="B27" s="486">
        <v>25700</v>
      </c>
      <c r="C27" s="545">
        <f>Hours!I23</f>
        <v>51.083591331269346</v>
      </c>
      <c r="D27" s="480">
        <v>0</v>
      </c>
      <c r="E27" s="506">
        <f t="shared" si="8"/>
        <v>0</v>
      </c>
      <c r="F27" s="480">
        <v>8</v>
      </c>
      <c r="G27" s="498">
        <v>0.34</v>
      </c>
      <c r="H27" s="501">
        <f t="shared" si="9"/>
        <v>0</v>
      </c>
      <c r="I27" s="499">
        <v>0.1</v>
      </c>
      <c r="J27" s="500">
        <f t="shared" si="10"/>
        <v>0.18744401757481335</v>
      </c>
      <c r="K27" s="501">
        <f t="shared" si="11"/>
        <v>0</v>
      </c>
      <c r="L27" s="501">
        <f t="shared" si="12"/>
        <v>0</v>
      </c>
      <c r="M27" s="501">
        <f t="shared" si="13"/>
        <v>0</v>
      </c>
      <c r="N27" s="501">
        <f t="shared" si="0"/>
        <v>0</v>
      </c>
      <c r="O27" s="504">
        <v>0.01</v>
      </c>
      <c r="P27" s="501">
        <f t="shared" si="14"/>
        <v>0</v>
      </c>
      <c r="Q27" s="510">
        <v>0.2</v>
      </c>
      <c r="R27" s="511">
        <v>46</v>
      </c>
      <c r="S27" s="512">
        <f t="shared" si="15"/>
        <v>9.1999999999999998E-3</v>
      </c>
      <c r="T27" s="501">
        <f t="shared" si="16"/>
        <v>0</v>
      </c>
      <c r="U27" s="15"/>
      <c r="V27" s="480"/>
      <c r="W27" s="15"/>
      <c r="X27" s="15"/>
      <c r="Y27" s="15"/>
      <c r="Z27" s="15"/>
      <c r="AA27" s="15"/>
    </row>
    <row r="28" spans="1:27" ht="12.95" customHeight="1" x14ac:dyDescent="0.25">
      <c r="A28" s="478" t="s">
        <v>210</v>
      </c>
      <c r="B28" s="486">
        <v>83400</v>
      </c>
      <c r="C28" s="545" t="str">
        <f>Hours!I24</f>
        <v xml:space="preserve"> </v>
      </c>
      <c r="D28" s="480">
        <v>0</v>
      </c>
      <c r="E28" s="506">
        <f t="shared" si="8"/>
        <v>0</v>
      </c>
      <c r="F28" s="480">
        <v>8</v>
      </c>
      <c r="G28" s="498">
        <v>0.44</v>
      </c>
      <c r="H28" s="501">
        <f t="shared" si="9"/>
        <v>0</v>
      </c>
      <c r="I28" s="499">
        <v>0.1</v>
      </c>
      <c r="J28" s="500">
        <f t="shared" si="10"/>
        <v>0.18744401757481335</v>
      </c>
      <c r="K28" s="501">
        <f t="shared" si="11"/>
        <v>0</v>
      </c>
      <c r="L28" s="501">
        <f t="shared" si="12"/>
        <v>0</v>
      </c>
      <c r="M28" s="501">
        <f t="shared" si="13"/>
        <v>0</v>
      </c>
      <c r="N28" s="501">
        <f t="shared" si="0"/>
        <v>0</v>
      </c>
      <c r="O28" s="504">
        <v>0.01</v>
      </c>
      <c r="P28" s="501">
        <f t="shared" si="14"/>
        <v>0</v>
      </c>
      <c r="Q28" s="510">
        <v>0.2</v>
      </c>
      <c r="R28" s="511">
        <v>46</v>
      </c>
      <c r="S28" s="512">
        <f t="shared" si="15"/>
        <v>9.1999999999999998E-3</v>
      </c>
      <c r="T28" s="501">
        <f t="shared" si="16"/>
        <v>0</v>
      </c>
      <c r="U28" s="15"/>
      <c r="V28" s="480"/>
      <c r="W28" s="15"/>
      <c r="X28" s="15"/>
      <c r="Y28" s="15"/>
      <c r="Z28" s="15"/>
      <c r="AA28" s="15"/>
    </row>
    <row r="29" spans="1:27" ht="12.95" customHeight="1" x14ac:dyDescent="0.25">
      <c r="A29" s="478" t="s">
        <v>211</v>
      </c>
      <c r="B29" s="486">
        <v>150000</v>
      </c>
      <c r="C29" s="545">
        <f>Hours!I25</f>
        <v>77.935222672064768</v>
      </c>
      <c r="D29" s="480">
        <v>0</v>
      </c>
      <c r="E29" s="506">
        <f t="shared" si="8"/>
        <v>0</v>
      </c>
      <c r="F29" s="480">
        <v>8</v>
      </c>
      <c r="G29" s="498">
        <v>0.44</v>
      </c>
      <c r="H29" s="501">
        <f t="shared" si="9"/>
        <v>0</v>
      </c>
      <c r="I29" s="499">
        <v>0.1</v>
      </c>
      <c r="J29" s="500">
        <f t="shared" si="10"/>
        <v>0.18744401757481335</v>
      </c>
      <c r="K29" s="501">
        <f t="shared" si="11"/>
        <v>0</v>
      </c>
      <c r="L29" s="501">
        <f t="shared" si="12"/>
        <v>0</v>
      </c>
      <c r="M29" s="501">
        <f t="shared" si="13"/>
        <v>0</v>
      </c>
      <c r="N29" s="501">
        <f t="shared" si="0"/>
        <v>0</v>
      </c>
      <c r="O29" s="504">
        <v>0.01</v>
      </c>
      <c r="P29" s="501">
        <f t="shared" si="14"/>
        <v>0</v>
      </c>
      <c r="Q29" s="510">
        <v>0.2</v>
      </c>
      <c r="R29" s="511">
        <v>46</v>
      </c>
      <c r="S29" s="512">
        <f t="shared" si="15"/>
        <v>9.1999999999999998E-3</v>
      </c>
      <c r="T29" s="501">
        <f t="shared" si="16"/>
        <v>0</v>
      </c>
      <c r="U29" s="15"/>
      <c r="V29" s="480"/>
      <c r="W29" s="15"/>
      <c r="X29" s="15"/>
      <c r="Y29" s="15"/>
      <c r="Z29" s="15"/>
      <c r="AA29" s="15"/>
    </row>
    <row r="30" spans="1:27" ht="12.95" customHeight="1" x14ac:dyDescent="0.25">
      <c r="A30" s="478" t="s">
        <v>315</v>
      </c>
      <c r="B30" s="486">
        <v>126000</v>
      </c>
      <c r="C30" s="545">
        <f>Hours!I26</f>
        <v>57.142857142857153</v>
      </c>
      <c r="D30" s="480">
        <v>0</v>
      </c>
      <c r="E30" s="506">
        <f t="shared" si="8"/>
        <v>0</v>
      </c>
      <c r="F30" s="480">
        <v>8</v>
      </c>
      <c r="G30" s="498">
        <v>0.44</v>
      </c>
      <c r="H30" s="501">
        <f t="shared" si="9"/>
        <v>0</v>
      </c>
      <c r="I30" s="499">
        <v>0.1</v>
      </c>
      <c r="J30" s="500">
        <f t="shared" si="10"/>
        <v>0.18744401757481335</v>
      </c>
      <c r="K30" s="501">
        <f t="shared" si="11"/>
        <v>0</v>
      </c>
      <c r="L30" s="501">
        <f t="shared" si="12"/>
        <v>0</v>
      </c>
      <c r="M30" s="501">
        <f t="shared" si="13"/>
        <v>0</v>
      </c>
      <c r="N30" s="501">
        <f t="shared" si="0"/>
        <v>0</v>
      </c>
      <c r="O30" s="504">
        <v>0.01</v>
      </c>
      <c r="P30" s="501">
        <f t="shared" si="14"/>
        <v>0</v>
      </c>
      <c r="Q30" s="510">
        <v>0.2</v>
      </c>
      <c r="R30" s="511">
        <v>46</v>
      </c>
      <c r="S30" s="512">
        <f t="shared" si="15"/>
        <v>9.1999999999999998E-3</v>
      </c>
      <c r="T30" s="501">
        <f t="shared" si="16"/>
        <v>0</v>
      </c>
      <c r="U30" s="15"/>
      <c r="V30" s="480"/>
      <c r="W30" s="15"/>
      <c r="X30" s="15"/>
      <c r="Y30" s="15"/>
      <c r="Z30" s="15"/>
      <c r="AA30" s="15"/>
    </row>
    <row r="31" spans="1:27" ht="12.95" customHeight="1" x14ac:dyDescent="0.25">
      <c r="A31" s="478" t="s">
        <v>316</v>
      </c>
      <c r="B31" s="486">
        <v>114700</v>
      </c>
      <c r="C31" s="545" t="str">
        <f>Hours!I27</f>
        <v xml:space="preserve"> </v>
      </c>
      <c r="D31" s="480">
        <v>0</v>
      </c>
      <c r="E31" s="506">
        <f t="shared" si="8"/>
        <v>0</v>
      </c>
      <c r="F31" s="480">
        <v>8</v>
      </c>
      <c r="G31" s="498">
        <v>0.44</v>
      </c>
      <c r="H31" s="501">
        <f t="shared" si="9"/>
        <v>0</v>
      </c>
      <c r="I31" s="499">
        <v>0.1</v>
      </c>
      <c r="J31" s="500">
        <f t="shared" si="10"/>
        <v>0.18744401757481335</v>
      </c>
      <c r="K31" s="501">
        <f t="shared" si="11"/>
        <v>0</v>
      </c>
      <c r="L31" s="501">
        <f t="shared" si="12"/>
        <v>0</v>
      </c>
      <c r="M31" s="501">
        <f t="shared" si="13"/>
        <v>0</v>
      </c>
      <c r="N31" s="501">
        <f t="shared" si="0"/>
        <v>0</v>
      </c>
      <c r="O31" s="504">
        <v>0.01</v>
      </c>
      <c r="P31" s="501">
        <f t="shared" si="14"/>
        <v>0</v>
      </c>
      <c r="Q31" s="510">
        <v>0.2</v>
      </c>
      <c r="R31" s="511">
        <v>46</v>
      </c>
      <c r="S31" s="512">
        <f t="shared" si="15"/>
        <v>9.1999999999999998E-3</v>
      </c>
      <c r="T31" s="501">
        <f t="shared" si="16"/>
        <v>0</v>
      </c>
      <c r="U31" s="15"/>
      <c r="V31" s="480"/>
      <c r="W31" s="15"/>
      <c r="X31" s="15"/>
      <c r="Y31" s="15"/>
      <c r="Z31" s="15"/>
      <c r="AA31" s="15"/>
    </row>
    <row r="32" spans="1:27" ht="12.95" customHeight="1" x14ac:dyDescent="0.25">
      <c r="A32" s="478" t="s">
        <v>212</v>
      </c>
      <c r="B32" s="486">
        <v>19500</v>
      </c>
      <c r="C32" s="545" t="str">
        <f>Hours!I28</f>
        <v xml:space="preserve"> </v>
      </c>
      <c r="D32" s="480">
        <v>0</v>
      </c>
      <c r="E32" s="506">
        <f t="shared" si="8"/>
        <v>0</v>
      </c>
      <c r="F32" s="480">
        <v>8</v>
      </c>
      <c r="G32" s="498">
        <v>0.35</v>
      </c>
      <c r="H32" s="501">
        <f t="shared" si="9"/>
        <v>0</v>
      </c>
      <c r="I32" s="499">
        <v>0.1</v>
      </c>
      <c r="J32" s="500">
        <f t="shared" si="10"/>
        <v>0.18744401757481335</v>
      </c>
      <c r="K32" s="501">
        <f t="shared" si="11"/>
        <v>0</v>
      </c>
      <c r="L32" s="501">
        <f t="shared" si="12"/>
        <v>0</v>
      </c>
      <c r="M32" s="501">
        <f t="shared" si="13"/>
        <v>0</v>
      </c>
      <c r="N32" s="501">
        <f t="shared" si="0"/>
        <v>0</v>
      </c>
      <c r="O32" s="504">
        <v>0.01</v>
      </c>
      <c r="P32" s="501">
        <f t="shared" si="14"/>
        <v>0</v>
      </c>
      <c r="Q32" s="510">
        <v>0.2</v>
      </c>
      <c r="R32" s="511">
        <v>46</v>
      </c>
      <c r="S32" s="512">
        <f t="shared" si="15"/>
        <v>9.1999999999999998E-3</v>
      </c>
      <c r="T32" s="501">
        <f t="shared" si="16"/>
        <v>0</v>
      </c>
      <c r="U32" s="15"/>
      <c r="V32" s="480"/>
      <c r="W32" s="15"/>
      <c r="X32" s="15"/>
      <c r="Y32" s="15"/>
      <c r="Z32" s="15"/>
      <c r="AA32" s="15"/>
    </row>
    <row r="33" spans="1:27" ht="12.95" customHeight="1" x14ac:dyDescent="0.25">
      <c r="A33" s="478" t="s">
        <v>317</v>
      </c>
      <c r="B33" s="486">
        <v>46000</v>
      </c>
      <c r="C33" s="545">
        <f>Hours!I29</f>
        <v>67.941176470588232</v>
      </c>
      <c r="D33" s="480">
        <v>0</v>
      </c>
      <c r="E33" s="506">
        <f t="shared" si="8"/>
        <v>0</v>
      </c>
      <c r="F33" s="480">
        <v>8</v>
      </c>
      <c r="G33" s="498">
        <v>0.35</v>
      </c>
      <c r="H33" s="501">
        <f t="shared" si="9"/>
        <v>0</v>
      </c>
      <c r="I33" s="499">
        <v>0.1</v>
      </c>
      <c r="J33" s="500">
        <f t="shared" si="10"/>
        <v>0.18744401757481335</v>
      </c>
      <c r="K33" s="501">
        <f t="shared" si="11"/>
        <v>0</v>
      </c>
      <c r="L33" s="501">
        <f t="shared" si="12"/>
        <v>0</v>
      </c>
      <c r="M33" s="501">
        <f t="shared" si="13"/>
        <v>0</v>
      </c>
      <c r="N33" s="501">
        <f t="shared" si="0"/>
        <v>0</v>
      </c>
      <c r="O33" s="504">
        <v>0.01</v>
      </c>
      <c r="P33" s="501">
        <f t="shared" si="14"/>
        <v>0</v>
      </c>
      <c r="Q33" s="510">
        <v>0.2</v>
      </c>
      <c r="R33" s="511">
        <v>46</v>
      </c>
      <c r="S33" s="512">
        <f t="shared" si="15"/>
        <v>9.1999999999999998E-3</v>
      </c>
      <c r="T33" s="501">
        <f t="shared" si="16"/>
        <v>0</v>
      </c>
      <c r="U33" s="15"/>
      <c r="V33" s="480"/>
      <c r="W33" s="15"/>
      <c r="X33" s="15"/>
      <c r="Y33" s="15"/>
      <c r="Z33" s="15"/>
      <c r="AA33" s="15"/>
    </row>
    <row r="34" spans="1:27" ht="12.95" customHeight="1" x14ac:dyDescent="0.25">
      <c r="A34" s="478" t="s">
        <v>213</v>
      </c>
      <c r="B34" s="486">
        <v>8100</v>
      </c>
      <c r="C34" s="545">
        <f>Hours!I30</f>
        <v>69.902979856353639</v>
      </c>
      <c r="D34" s="480">
        <v>0</v>
      </c>
      <c r="E34" s="506">
        <f t="shared" si="8"/>
        <v>0</v>
      </c>
      <c r="F34" s="480">
        <v>8</v>
      </c>
      <c r="G34" s="498">
        <v>0.4</v>
      </c>
      <c r="H34" s="501">
        <f t="shared" si="9"/>
        <v>0</v>
      </c>
      <c r="I34" s="499">
        <v>0.1</v>
      </c>
      <c r="J34" s="500">
        <f t="shared" si="10"/>
        <v>0.18744401757481335</v>
      </c>
      <c r="K34" s="501">
        <f t="shared" si="11"/>
        <v>0</v>
      </c>
      <c r="L34" s="501">
        <f t="shared" si="12"/>
        <v>0</v>
      </c>
      <c r="M34" s="501">
        <f t="shared" si="13"/>
        <v>0</v>
      </c>
      <c r="N34" s="501">
        <f t="shared" ref="N34:N70" si="17">(E34+H34)/2</f>
        <v>0</v>
      </c>
      <c r="O34" s="504">
        <v>0.01</v>
      </c>
      <c r="P34" s="501">
        <f t="shared" si="14"/>
        <v>0</v>
      </c>
      <c r="Q34" s="510">
        <v>0.2</v>
      </c>
      <c r="R34" s="511">
        <v>46</v>
      </c>
      <c r="S34" s="512">
        <f t="shared" si="15"/>
        <v>9.1999999999999998E-3</v>
      </c>
      <c r="T34" s="501">
        <f t="shared" si="16"/>
        <v>0</v>
      </c>
      <c r="U34" s="15"/>
      <c r="V34" s="480"/>
      <c r="W34" s="15"/>
      <c r="X34" s="15"/>
      <c r="Y34" s="15"/>
      <c r="Z34" s="15"/>
      <c r="AA34" s="15"/>
    </row>
    <row r="35" spans="1:27" ht="12.95" customHeight="1" x14ac:dyDescent="0.25">
      <c r="A35" s="478" t="s">
        <v>214</v>
      </c>
      <c r="B35" s="486">
        <v>25100</v>
      </c>
      <c r="C35" s="545" t="str">
        <f>Hours!I31</f>
        <v xml:space="preserve"> </v>
      </c>
      <c r="D35" s="480">
        <v>0</v>
      </c>
      <c r="E35" s="506">
        <f t="shared" si="8"/>
        <v>0</v>
      </c>
      <c r="F35" s="480">
        <v>8</v>
      </c>
      <c r="G35" s="498">
        <v>0.44</v>
      </c>
      <c r="H35" s="501">
        <f t="shared" si="9"/>
        <v>0</v>
      </c>
      <c r="I35" s="499">
        <v>0.1</v>
      </c>
      <c r="J35" s="500">
        <f t="shared" si="10"/>
        <v>0.18744401757481335</v>
      </c>
      <c r="K35" s="501">
        <f t="shared" si="11"/>
        <v>0</v>
      </c>
      <c r="L35" s="501">
        <f t="shared" si="12"/>
        <v>0</v>
      </c>
      <c r="M35" s="501">
        <f t="shared" si="13"/>
        <v>0</v>
      </c>
      <c r="N35" s="501">
        <f t="shared" si="17"/>
        <v>0</v>
      </c>
      <c r="O35" s="504">
        <v>0.01</v>
      </c>
      <c r="P35" s="501">
        <f t="shared" si="14"/>
        <v>0</v>
      </c>
      <c r="Q35" s="510">
        <v>0.2</v>
      </c>
      <c r="R35" s="511">
        <v>46</v>
      </c>
      <c r="S35" s="512">
        <f t="shared" si="15"/>
        <v>9.1999999999999998E-3</v>
      </c>
      <c r="T35" s="501">
        <f t="shared" si="16"/>
        <v>0</v>
      </c>
      <c r="U35" s="15"/>
      <c r="V35" s="480"/>
      <c r="W35" s="15"/>
      <c r="X35" s="15"/>
      <c r="Y35" s="15"/>
      <c r="Z35" s="15"/>
      <c r="AA35" s="15"/>
    </row>
    <row r="36" spans="1:27" ht="12.95" customHeight="1" x14ac:dyDescent="0.25">
      <c r="A36" s="478" t="s">
        <v>215</v>
      </c>
      <c r="B36" s="486">
        <v>8760</v>
      </c>
      <c r="C36" s="545">
        <f>Hours!I32</f>
        <v>30.357865537616448</v>
      </c>
      <c r="D36" s="480">
        <v>0</v>
      </c>
      <c r="E36" s="506">
        <f t="shared" si="8"/>
        <v>0</v>
      </c>
      <c r="F36" s="480">
        <v>8</v>
      </c>
      <c r="G36" s="498">
        <v>0.35</v>
      </c>
      <c r="H36" s="501">
        <f t="shared" si="9"/>
        <v>0</v>
      </c>
      <c r="I36" s="499">
        <v>0.1</v>
      </c>
      <c r="J36" s="500">
        <f t="shared" si="10"/>
        <v>0.18744401757481335</v>
      </c>
      <c r="K36" s="501">
        <f t="shared" si="11"/>
        <v>0</v>
      </c>
      <c r="L36" s="501">
        <f t="shared" si="12"/>
        <v>0</v>
      </c>
      <c r="M36" s="501">
        <f t="shared" si="13"/>
        <v>0</v>
      </c>
      <c r="N36" s="501">
        <f t="shared" si="17"/>
        <v>0</v>
      </c>
      <c r="O36" s="504">
        <v>0.01</v>
      </c>
      <c r="P36" s="501">
        <f t="shared" si="14"/>
        <v>0</v>
      </c>
      <c r="Q36" s="510">
        <v>0.2</v>
      </c>
      <c r="R36" s="511">
        <v>46</v>
      </c>
      <c r="S36" s="512">
        <f t="shared" si="15"/>
        <v>9.1999999999999998E-3</v>
      </c>
      <c r="T36" s="501">
        <f t="shared" si="16"/>
        <v>0</v>
      </c>
      <c r="U36" s="15"/>
      <c r="V36" s="480"/>
      <c r="W36" s="15"/>
      <c r="X36" s="15"/>
      <c r="Y36" s="15"/>
      <c r="Z36" s="15"/>
      <c r="AA36" s="15"/>
    </row>
    <row r="37" spans="1:27" ht="12.95" customHeight="1" x14ac:dyDescent="0.25">
      <c r="A37" s="478" t="s">
        <v>216</v>
      </c>
      <c r="B37" s="486">
        <v>12000</v>
      </c>
      <c r="C37" s="545" t="str">
        <f>Hours!I33</f>
        <v xml:space="preserve"> </v>
      </c>
      <c r="D37" s="480">
        <v>0</v>
      </c>
      <c r="E37" s="506">
        <f t="shared" si="8"/>
        <v>0</v>
      </c>
      <c r="F37" s="480">
        <v>8</v>
      </c>
      <c r="G37" s="498">
        <v>0.35</v>
      </c>
      <c r="H37" s="501">
        <f t="shared" si="9"/>
        <v>0</v>
      </c>
      <c r="I37" s="499">
        <v>0.1</v>
      </c>
      <c r="J37" s="500">
        <f t="shared" si="10"/>
        <v>0.18744401757481335</v>
      </c>
      <c r="K37" s="501">
        <f t="shared" si="11"/>
        <v>0</v>
      </c>
      <c r="L37" s="501">
        <f t="shared" si="12"/>
        <v>0</v>
      </c>
      <c r="M37" s="501">
        <f t="shared" si="13"/>
        <v>0</v>
      </c>
      <c r="N37" s="501">
        <f t="shared" si="17"/>
        <v>0</v>
      </c>
      <c r="O37" s="504">
        <v>0.01</v>
      </c>
      <c r="P37" s="501">
        <f t="shared" si="14"/>
        <v>0</v>
      </c>
      <c r="Q37" s="510">
        <v>0.2</v>
      </c>
      <c r="R37" s="511">
        <v>46</v>
      </c>
      <c r="S37" s="512">
        <f t="shared" si="15"/>
        <v>9.1999999999999998E-3</v>
      </c>
      <c r="T37" s="501">
        <f t="shared" si="16"/>
        <v>0</v>
      </c>
      <c r="U37" s="15"/>
      <c r="V37" s="480"/>
      <c r="W37" s="15"/>
      <c r="X37" s="15"/>
      <c r="Y37" s="15"/>
      <c r="Z37" s="15"/>
      <c r="AA37" s="15"/>
    </row>
    <row r="38" spans="1:27" ht="12.95" customHeight="1" x14ac:dyDescent="0.25">
      <c r="A38" s="478" t="s">
        <v>217</v>
      </c>
      <c r="B38" s="486">
        <v>6190</v>
      </c>
      <c r="C38" s="545" t="str">
        <f>Hours!I34</f>
        <v xml:space="preserve"> </v>
      </c>
      <c r="D38" s="480">
        <v>0</v>
      </c>
      <c r="E38" s="506">
        <f t="shared" si="8"/>
        <v>0</v>
      </c>
      <c r="F38" s="480">
        <v>8</v>
      </c>
      <c r="G38" s="498">
        <v>0.35</v>
      </c>
      <c r="H38" s="501">
        <f t="shared" si="9"/>
        <v>0</v>
      </c>
      <c r="I38" s="499">
        <v>0.1</v>
      </c>
      <c r="J38" s="500">
        <f t="shared" si="10"/>
        <v>0.18744401757481335</v>
      </c>
      <c r="K38" s="501">
        <f t="shared" si="11"/>
        <v>0</v>
      </c>
      <c r="L38" s="501">
        <f t="shared" si="12"/>
        <v>0</v>
      </c>
      <c r="M38" s="501">
        <f t="shared" si="13"/>
        <v>0</v>
      </c>
      <c r="N38" s="501">
        <f t="shared" si="17"/>
        <v>0</v>
      </c>
      <c r="O38" s="504">
        <v>0.01</v>
      </c>
      <c r="P38" s="501">
        <f t="shared" si="14"/>
        <v>0</v>
      </c>
      <c r="Q38" s="510">
        <v>0.2</v>
      </c>
      <c r="R38" s="511">
        <v>46</v>
      </c>
      <c r="S38" s="512">
        <f t="shared" si="15"/>
        <v>9.1999999999999998E-3</v>
      </c>
      <c r="T38" s="501">
        <f t="shared" si="16"/>
        <v>0</v>
      </c>
      <c r="U38" s="15"/>
      <c r="V38" s="480"/>
      <c r="W38" s="15"/>
      <c r="X38" s="15"/>
      <c r="Y38" s="15"/>
      <c r="Z38" s="15"/>
      <c r="AA38" s="15"/>
    </row>
    <row r="39" spans="1:27" ht="12.95" customHeight="1" x14ac:dyDescent="0.25">
      <c r="A39" s="478" t="s">
        <v>218</v>
      </c>
      <c r="B39" s="486">
        <v>3860</v>
      </c>
      <c r="C39" s="545">
        <f>Hours!I35</f>
        <v>15.178932768808224</v>
      </c>
      <c r="D39" s="480">
        <v>0</v>
      </c>
      <c r="E39" s="506">
        <f t="shared" si="8"/>
        <v>0</v>
      </c>
      <c r="F39" s="480">
        <v>8</v>
      </c>
      <c r="G39" s="498">
        <v>0.35</v>
      </c>
      <c r="H39" s="501">
        <f t="shared" si="9"/>
        <v>0</v>
      </c>
      <c r="I39" s="499">
        <v>0.1</v>
      </c>
      <c r="J39" s="500">
        <f t="shared" si="10"/>
        <v>0.18744401757481335</v>
      </c>
      <c r="K39" s="501">
        <f t="shared" si="11"/>
        <v>0</v>
      </c>
      <c r="L39" s="501">
        <f t="shared" si="12"/>
        <v>0</v>
      </c>
      <c r="M39" s="501">
        <f t="shared" si="13"/>
        <v>0</v>
      </c>
      <c r="N39" s="501">
        <f t="shared" si="17"/>
        <v>0</v>
      </c>
      <c r="O39" s="504">
        <v>0.01</v>
      </c>
      <c r="P39" s="501">
        <f t="shared" si="14"/>
        <v>0</v>
      </c>
      <c r="Q39" s="510">
        <v>0.2</v>
      </c>
      <c r="R39" s="511">
        <v>46</v>
      </c>
      <c r="S39" s="512">
        <f t="shared" si="15"/>
        <v>9.1999999999999998E-3</v>
      </c>
      <c r="T39" s="501">
        <f t="shared" si="16"/>
        <v>0</v>
      </c>
      <c r="U39" s="15"/>
      <c r="V39" s="480"/>
      <c r="W39" s="15"/>
      <c r="X39" s="15"/>
      <c r="Y39" s="15"/>
      <c r="Z39" s="15"/>
      <c r="AA39" s="15"/>
    </row>
    <row r="40" spans="1:27" ht="12.95" customHeight="1" x14ac:dyDescent="0.25">
      <c r="A40" s="478" t="s">
        <v>290</v>
      </c>
      <c r="B40" s="486">
        <v>8270</v>
      </c>
      <c r="C40" s="545">
        <f>Hours!I36</f>
        <v>30.357865537616448</v>
      </c>
      <c r="D40" s="480">
        <v>0</v>
      </c>
      <c r="E40" s="506">
        <f t="shared" si="8"/>
        <v>0</v>
      </c>
      <c r="F40" s="480">
        <v>8</v>
      </c>
      <c r="G40" s="498">
        <v>0.35</v>
      </c>
      <c r="H40" s="501">
        <f t="shared" si="9"/>
        <v>0</v>
      </c>
      <c r="I40" s="499">
        <v>0.1</v>
      </c>
      <c r="J40" s="500">
        <f t="shared" si="10"/>
        <v>0.18744401757481335</v>
      </c>
      <c r="K40" s="501">
        <f t="shared" si="11"/>
        <v>0</v>
      </c>
      <c r="L40" s="501">
        <f t="shared" si="12"/>
        <v>0</v>
      </c>
      <c r="M40" s="501">
        <f t="shared" si="13"/>
        <v>0</v>
      </c>
      <c r="N40" s="501">
        <f t="shared" si="17"/>
        <v>0</v>
      </c>
      <c r="O40" s="504">
        <v>0.01</v>
      </c>
      <c r="P40" s="501">
        <f t="shared" si="14"/>
        <v>0</v>
      </c>
      <c r="Q40" s="510">
        <v>0.2</v>
      </c>
      <c r="R40" s="511">
        <v>46</v>
      </c>
      <c r="S40" s="512">
        <f t="shared" si="15"/>
        <v>9.1999999999999998E-3</v>
      </c>
      <c r="T40" s="501">
        <f t="shared" si="16"/>
        <v>0</v>
      </c>
      <c r="U40" s="15"/>
      <c r="V40" s="480"/>
      <c r="W40" s="15"/>
      <c r="X40" s="15"/>
      <c r="Y40" s="15"/>
      <c r="Z40" s="15"/>
      <c r="AA40" s="15"/>
    </row>
    <row r="41" spans="1:27" ht="12.95" customHeight="1" x14ac:dyDescent="0.25">
      <c r="A41" s="478" t="s">
        <v>219</v>
      </c>
      <c r="B41" s="486">
        <v>47900</v>
      </c>
      <c r="C41" s="545" t="str">
        <f>Hours!I37</f>
        <v xml:space="preserve"> </v>
      </c>
      <c r="D41" s="480">
        <v>0</v>
      </c>
      <c r="E41" s="506">
        <f t="shared" si="8"/>
        <v>0</v>
      </c>
      <c r="F41" s="480">
        <v>8</v>
      </c>
      <c r="G41" s="498">
        <v>0.35</v>
      </c>
      <c r="H41" s="501">
        <f t="shared" si="9"/>
        <v>0</v>
      </c>
      <c r="I41" s="499">
        <v>0.1</v>
      </c>
      <c r="J41" s="500">
        <f t="shared" si="10"/>
        <v>0.18744401757481335</v>
      </c>
      <c r="K41" s="501">
        <f t="shared" si="11"/>
        <v>0</v>
      </c>
      <c r="L41" s="501">
        <f t="shared" si="12"/>
        <v>0</v>
      </c>
      <c r="M41" s="501">
        <f t="shared" si="13"/>
        <v>0</v>
      </c>
      <c r="N41" s="501">
        <f t="shared" si="17"/>
        <v>0</v>
      </c>
      <c r="O41" s="504">
        <v>0.01</v>
      </c>
      <c r="P41" s="501">
        <f t="shared" si="14"/>
        <v>0</v>
      </c>
      <c r="Q41" s="510">
        <v>0.2</v>
      </c>
      <c r="R41" s="511">
        <v>46</v>
      </c>
      <c r="S41" s="512">
        <f t="shared" si="15"/>
        <v>9.1999999999999998E-3</v>
      </c>
      <c r="T41" s="501">
        <f t="shared" si="16"/>
        <v>0</v>
      </c>
      <c r="U41" s="15"/>
      <c r="V41" s="480"/>
      <c r="W41" s="15"/>
      <c r="X41" s="15"/>
      <c r="Y41" s="15"/>
      <c r="Z41" s="15"/>
      <c r="AA41" s="15"/>
    </row>
    <row r="42" spans="1:27" ht="12.95" customHeight="1" x14ac:dyDescent="0.25">
      <c r="A42" s="478" t="s">
        <v>220</v>
      </c>
      <c r="B42" s="486">
        <v>17500</v>
      </c>
      <c r="C42" s="545" t="str">
        <f>Hours!I38</f>
        <v xml:space="preserve"> </v>
      </c>
      <c r="D42" s="480">
        <v>0</v>
      </c>
      <c r="E42" s="506">
        <f t="shared" si="8"/>
        <v>0</v>
      </c>
      <c r="F42" s="480">
        <v>8</v>
      </c>
      <c r="G42" s="498">
        <v>0.35</v>
      </c>
      <c r="H42" s="501">
        <f t="shared" si="9"/>
        <v>0</v>
      </c>
      <c r="I42" s="499">
        <v>0.1</v>
      </c>
      <c r="J42" s="500">
        <f t="shared" si="10"/>
        <v>0.18744401757481335</v>
      </c>
      <c r="K42" s="501">
        <f t="shared" si="11"/>
        <v>0</v>
      </c>
      <c r="L42" s="501">
        <f t="shared" si="12"/>
        <v>0</v>
      </c>
      <c r="M42" s="501">
        <f t="shared" si="13"/>
        <v>0</v>
      </c>
      <c r="N42" s="501">
        <f t="shared" si="17"/>
        <v>0</v>
      </c>
      <c r="O42" s="504">
        <v>0.01</v>
      </c>
      <c r="P42" s="501">
        <f t="shared" si="14"/>
        <v>0</v>
      </c>
      <c r="Q42" s="510">
        <v>0.2</v>
      </c>
      <c r="R42" s="511">
        <v>46</v>
      </c>
      <c r="S42" s="512">
        <f t="shared" si="15"/>
        <v>9.1999999999999998E-3</v>
      </c>
      <c r="T42" s="501">
        <f t="shared" si="16"/>
        <v>0</v>
      </c>
      <c r="U42" s="15"/>
      <c r="V42" s="480"/>
      <c r="W42" s="15"/>
      <c r="X42" s="15"/>
      <c r="Y42" s="15"/>
      <c r="Z42" s="15"/>
      <c r="AA42" s="15"/>
    </row>
    <row r="43" spans="1:27" ht="12.95" customHeight="1" x14ac:dyDescent="0.25">
      <c r="A43" s="478" t="s">
        <v>221</v>
      </c>
      <c r="B43" s="486">
        <v>14800</v>
      </c>
      <c r="C43" s="545" t="str">
        <f>Hours!I39</f>
        <v xml:space="preserve"> </v>
      </c>
      <c r="D43" s="480">
        <v>0</v>
      </c>
      <c r="E43" s="506">
        <f t="shared" si="8"/>
        <v>0</v>
      </c>
      <c r="F43" s="480">
        <v>8</v>
      </c>
      <c r="G43" s="498">
        <v>0.35</v>
      </c>
      <c r="H43" s="501">
        <f t="shared" si="9"/>
        <v>0</v>
      </c>
      <c r="I43" s="499">
        <v>0.1</v>
      </c>
      <c r="J43" s="500">
        <f t="shared" si="10"/>
        <v>0.18744401757481335</v>
      </c>
      <c r="K43" s="501">
        <f t="shared" si="11"/>
        <v>0</v>
      </c>
      <c r="L43" s="501">
        <f t="shared" si="12"/>
        <v>0</v>
      </c>
      <c r="M43" s="501">
        <f t="shared" si="13"/>
        <v>0</v>
      </c>
      <c r="N43" s="501">
        <f t="shared" si="17"/>
        <v>0</v>
      </c>
      <c r="O43" s="504">
        <v>0.01</v>
      </c>
      <c r="P43" s="501">
        <f t="shared" si="14"/>
        <v>0</v>
      </c>
      <c r="Q43" s="510">
        <v>0.2</v>
      </c>
      <c r="R43" s="511">
        <v>46</v>
      </c>
      <c r="S43" s="512">
        <f t="shared" si="15"/>
        <v>9.1999999999999998E-3</v>
      </c>
      <c r="T43" s="501">
        <f t="shared" si="16"/>
        <v>0</v>
      </c>
      <c r="U43" s="15"/>
      <c r="V43" s="480"/>
      <c r="W43" s="15"/>
      <c r="X43" s="15"/>
      <c r="Y43" s="15"/>
      <c r="Z43" s="15"/>
      <c r="AA43" s="15"/>
    </row>
    <row r="44" spans="1:27" ht="12.95" customHeight="1" x14ac:dyDescent="0.25">
      <c r="A44" s="478" t="s">
        <v>222</v>
      </c>
      <c r="B44" s="486">
        <v>33100</v>
      </c>
      <c r="C44" s="545" t="str">
        <f>Hours!I40</f>
        <v xml:space="preserve"> </v>
      </c>
      <c r="D44" s="480">
        <v>0</v>
      </c>
      <c r="E44" s="506">
        <f t="shared" si="8"/>
        <v>0</v>
      </c>
      <c r="F44" s="480">
        <v>8</v>
      </c>
      <c r="G44" s="498">
        <v>0.32</v>
      </c>
      <c r="H44" s="501">
        <f t="shared" si="9"/>
        <v>0</v>
      </c>
      <c r="I44" s="499">
        <v>0.1</v>
      </c>
      <c r="J44" s="500">
        <f t="shared" si="10"/>
        <v>0.18744401757481335</v>
      </c>
      <c r="K44" s="501">
        <f t="shared" si="11"/>
        <v>0</v>
      </c>
      <c r="L44" s="501">
        <f t="shared" si="12"/>
        <v>0</v>
      </c>
      <c r="M44" s="501">
        <f t="shared" si="13"/>
        <v>0</v>
      </c>
      <c r="N44" s="501">
        <f t="shared" si="17"/>
        <v>0</v>
      </c>
      <c r="O44" s="504">
        <v>0.01</v>
      </c>
      <c r="P44" s="501">
        <f t="shared" si="14"/>
        <v>0</v>
      </c>
      <c r="Q44" s="510">
        <v>0.2</v>
      </c>
      <c r="R44" s="511">
        <v>46</v>
      </c>
      <c r="S44" s="512">
        <f t="shared" si="15"/>
        <v>9.1999999999999998E-3</v>
      </c>
      <c r="T44" s="501">
        <f t="shared" si="16"/>
        <v>0</v>
      </c>
      <c r="U44" s="15"/>
      <c r="V44" s="480"/>
      <c r="W44" s="15"/>
      <c r="X44" s="15"/>
      <c r="Y44" s="15"/>
      <c r="Z44" s="15"/>
      <c r="AA44" s="15"/>
    </row>
    <row r="45" spans="1:27" ht="12.95" customHeight="1" x14ac:dyDescent="0.25">
      <c r="A45" s="478" t="s">
        <v>288</v>
      </c>
      <c r="B45" s="486">
        <v>24500</v>
      </c>
      <c r="C45" s="545">
        <f>Hours!I41</f>
        <v>52.380952380952387</v>
      </c>
      <c r="D45" s="480">
        <v>0</v>
      </c>
      <c r="E45" s="506">
        <f t="shared" si="8"/>
        <v>0</v>
      </c>
      <c r="F45" s="480">
        <v>8</v>
      </c>
      <c r="G45" s="498">
        <v>0.34</v>
      </c>
      <c r="H45" s="501">
        <f t="shared" si="9"/>
        <v>0</v>
      </c>
      <c r="I45" s="499">
        <v>0.1</v>
      </c>
      <c r="J45" s="500">
        <f t="shared" si="10"/>
        <v>0.18744401757481335</v>
      </c>
      <c r="K45" s="501">
        <f t="shared" si="11"/>
        <v>0</v>
      </c>
      <c r="L45" s="501">
        <f t="shared" si="12"/>
        <v>0</v>
      </c>
      <c r="M45" s="501">
        <f t="shared" si="13"/>
        <v>0</v>
      </c>
      <c r="N45" s="501">
        <f t="shared" si="17"/>
        <v>0</v>
      </c>
      <c r="O45" s="504">
        <v>0.01</v>
      </c>
      <c r="P45" s="501">
        <f t="shared" si="14"/>
        <v>0</v>
      </c>
      <c r="Q45" s="510">
        <v>0.2</v>
      </c>
      <c r="R45" s="511">
        <v>46</v>
      </c>
      <c r="S45" s="512">
        <f t="shared" si="15"/>
        <v>9.1999999999999998E-3</v>
      </c>
      <c r="T45" s="501">
        <f t="shared" si="16"/>
        <v>0</v>
      </c>
      <c r="U45" s="15"/>
      <c r="V45" s="480"/>
      <c r="W45" s="15"/>
      <c r="X45" s="15"/>
      <c r="Y45" s="15"/>
      <c r="Z45" s="15"/>
      <c r="AA45" s="15"/>
    </row>
    <row r="46" spans="1:27" ht="12.95" customHeight="1" x14ac:dyDescent="0.25">
      <c r="A46" s="478" t="s">
        <v>223</v>
      </c>
      <c r="B46" s="486">
        <v>0</v>
      </c>
      <c r="C46" s="545" t="str">
        <f>Hours!I42</f>
        <v xml:space="preserve"> </v>
      </c>
      <c r="D46" s="480">
        <v>0</v>
      </c>
      <c r="E46" s="506">
        <f t="shared" si="8"/>
        <v>0</v>
      </c>
      <c r="F46" s="480">
        <v>8</v>
      </c>
      <c r="G46" s="498">
        <v>0.4</v>
      </c>
      <c r="H46" s="501">
        <f t="shared" si="9"/>
        <v>0</v>
      </c>
      <c r="I46" s="499">
        <v>0.1</v>
      </c>
      <c r="J46" s="500">
        <f t="shared" si="10"/>
        <v>0.18744401757481335</v>
      </c>
      <c r="K46" s="501">
        <f t="shared" si="11"/>
        <v>0</v>
      </c>
      <c r="L46" s="501">
        <f t="shared" si="12"/>
        <v>0</v>
      </c>
      <c r="M46" s="501">
        <f t="shared" si="13"/>
        <v>0</v>
      </c>
      <c r="N46" s="501">
        <f t="shared" si="17"/>
        <v>0</v>
      </c>
      <c r="O46" s="504">
        <v>0.01</v>
      </c>
      <c r="P46" s="501">
        <f t="shared" si="14"/>
        <v>0</v>
      </c>
      <c r="Q46" s="510">
        <v>0.2</v>
      </c>
      <c r="R46" s="511">
        <v>46</v>
      </c>
      <c r="S46" s="512">
        <f t="shared" si="15"/>
        <v>9.1999999999999998E-3</v>
      </c>
      <c r="T46" s="501">
        <f t="shared" si="16"/>
        <v>0</v>
      </c>
      <c r="U46" s="15"/>
      <c r="V46" s="480"/>
      <c r="W46" s="15"/>
      <c r="X46" s="15"/>
      <c r="Y46" s="15"/>
      <c r="Z46" s="15"/>
      <c r="AA46" s="15"/>
    </row>
    <row r="47" spans="1:27" ht="12.95" customHeight="1" x14ac:dyDescent="0.25">
      <c r="A47" s="478" t="s">
        <v>223</v>
      </c>
      <c r="B47" s="486">
        <v>0</v>
      </c>
      <c r="C47" s="545" t="str">
        <f>Hours!I43</f>
        <v xml:space="preserve"> </v>
      </c>
      <c r="D47" s="480">
        <v>0</v>
      </c>
      <c r="E47" s="506">
        <f t="shared" si="8"/>
        <v>0</v>
      </c>
      <c r="F47" s="480">
        <v>8</v>
      </c>
      <c r="G47" s="498">
        <v>0.4</v>
      </c>
      <c r="H47" s="501">
        <f t="shared" si="9"/>
        <v>0</v>
      </c>
      <c r="I47" s="499">
        <v>0.1</v>
      </c>
      <c r="J47" s="500">
        <f t="shared" si="10"/>
        <v>0.18744401757481335</v>
      </c>
      <c r="K47" s="501">
        <f t="shared" si="11"/>
        <v>0</v>
      </c>
      <c r="L47" s="501">
        <f t="shared" si="12"/>
        <v>0</v>
      </c>
      <c r="M47" s="501">
        <f t="shared" si="13"/>
        <v>0</v>
      </c>
      <c r="N47" s="501">
        <f t="shared" si="17"/>
        <v>0</v>
      </c>
      <c r="O47" s="504">
        <v>0.01</v>
      </c>
      <c r="P47" s="501">
        <f t="shared" si="14"/>
        <v>0</v>
      </c>
      <c r="Q47" s="510">
        <v>0.2</v>
      </c>
      <c r="R47" s="511">
        <v>46</v>
      </c>
      <c r="S47" s="512">
        <f t="shared" si="15"/>
        <v>9.1999999999999998E-3</v>
      </c>
      <c r="T47" s="501">
        <f t="shared" si="16"/>
        <v>0</v>
      </c>
      <c r="U47" s="15"/>
      <c r="V47" s="480"/>
      <c r="W47" s="15"/>
      <c r="X47" s="15"/>
      <c r="Y47" s="15"/>
      <c r="Z47" s="15"/>
      <c r="AA47" s="15"/>
    </row>
    <row r="48" spans="1:27" ht="12.95" customHeight="1" x14ac:dyDescent="0.25">
      <c r="A48" s="491" t="s">
        <v>224</v>
      </c>
      <c r="B48" s="480"/>
      <c r="C48" s="546"/>
      <c r="D48" s="480"/>
      <c r="E48" s="490"/>
      <c r="F48" s="480"/>
      <c r="G48" s="480"/>
      <c r="H48" s="88"/>
      <c r="I48" s="480"/>
      <c r="J48" s="490"/>
      <c r="K48" s="88"/>
      <c r="L48" s="88"/>
      <c r="M48" s="88"/>
      <c r="N48" s="88">
        <f t="shared" si="17"/>
        <v>0</v>
      </c>
      <c r="O48" s="15"/>
      <c r="P48" s="88"/>
      <c r="Q48" s="15"/>
      <c r="R48" s="15"/>
      <c r="S48" s="88"/>
      <c r="T48" s="88"/>
      <c r="U48" s="15"/>
      <c r="V48" s="480"/>
      <c r="W48" s="15"/>
      <c r="X48" s="15"/>
      <c r="Y48" s="15"/>
      <c r="Z48" s="15"/>
      <c r="AA48" s="15"/>
    </row>
    <row r="49" spans="1:27" ht="12.95" customHeight="1" x14ac:dyDescent="0.25">
      <c r="A49" s="478" t="s">
        <v>225</v>
      </c>
      <c r="B49" s="486">
        <v>332000</v>
      </c>
      <c r="C49" s="545">
        <f>Hours!I47</f>
        <v>67</v>
      </c>
      <c r="D49" s="480">
        <v>0</v>
      </c>
      <c r="E49" s="506">
        <f t="shared" ref="E49:E51" si="18">B49*D49</f>
        <v>0</v>
      </c>
      <c r="F49" s="480">
        <v>8</v>
      </c>
      <c r="G49" s="498">
        <v>0.44</v>
      </c>
      <c r="H49" s="501">
        <f>E49*G49</f>
        <v>0</v>
      </c>
      <c r="I49" s="499">
        <v>0.1</v>
      </c>
      <c r="J49" s="500">
        <f t="shared" ref="J49:J51" si="19">(I49*(1+I49)^F49)/((1+I49)^F49-1)</f>
        <v>0.18744401757481335</v>
      </c>
      <c r="K49" s="501">
        <f t="shared" ref="K49:K51" si="20">((E49-(G49*E49))*J49)+(I49*(G49*E49))</f>
        <v>0</v>
      </c>
      <c r="L49" s="501">
        <f>((E49-(G49*E49))/F49)</f>
        <v>0</v>
      </c>
      <c r="M49" s="501">
        <f t="shared" ref="M49:M51" si="21">K49-L49</f>
        <v>0</v>
      </c>
      <c r="N49" s="501">
        <f t="shared" si="17"/>
        <v>0</v>
      </c>
      <c r="O49" s="504">
        <v>0.01</v>
      </c>
      <c r="P49" s="501">
        <f t="shared" ref="P49:P51" si="22">N49*O49</f>
        <v>0</v>
      </c>
      <c r="Q49" s="510">
        <v>0.2</v>
      </c>
      <c r="R49" s="511">
        <v>46</v>
      </c>
      <c r="S49" s="512">
        <f t="shared" ref="S49:S51" si="23">Q49*(R49/1000)</f>
        <v>9.1999999999999998E-3</v>
      </c>
      <c r="T49" s="501">
        <f t="shared" ref="T49:T51" si="24">N49*S49</f>
        <v>0</v>
      </c>
      <c r="U49" s="15"/>
      <c r="V49" s="480"/>
      <c r="W49" s="15"/>
      <c r="X49" s="15"/>
      <c r="Y49" s="15"/>
      <c r="Z49" s="15"/>
      <c r="AA49" s="15"/>
    </row>
    <row r="50" spans="1:27" ht="12.95" customHeight="1" x14ac:dyDescent="0.25">
      <c r="A50" s="478" t="s">
        <v>226</v>
      </c>
      <c r="B50" s="486">
        <v>25100</v>
      </c>
      <c r="C50" s="545" t="str">
        <f>Hours!I48</f>
        <v xml:space="preserve"> </v>
      </c>
      <c r="D50" s="480">
        <v>0</v>
      </c>
      <c r="E50" s="506">
        <f t="shared" si="18"/>
        <v>0</v>
      </c>
      <c r="F50" s="480">
        <v>8</v>
      </c>
      <c r="G50" s="498">
        <v>0.28999999999999998</v>
      </c>
      <c r="H50" s="501">
        <f>E50*G50</f>
        <v>0</v>
      </c>
      <c r="I50" s="499">
        <v>0.1</v>
      </c>
      <c r="J50" s="500">
        <f t="shared" si="19"/>
        <v>0.18744401757481335</v>
      </c>
      <c r="K50" s="501">
        <f t="shared" si="20"/>
        <v>0</v>
      </c>
      <c r="L50" s="501">
        <f>((E50-(G50*E50))/F50)</f>
        <v>0</v>
      </c>
      <c r="M50" s="501">
        <f t="shared" si="21"/>
        <v>0</v>
      </c>
      <c r="N50" s="501">
        <f t="shared" si="17"/>
        <v>0</v>
      </c>
      <c r="O50" s="504">
        <v>0.01</v>
      </c>
      <c r="P50" s="501">
        <f t="shared" si="22"/>
        <v>0</v>
      </c>
      <c r="Q50" s="510">
        <v>0.2</v>
      </c>
      <c r="R50" s="511">
        <v>46</v>
      </c>
      <c r="S50" s="512">
        <f t="shared" si="23"/>
        <v>9.1999999999999998E-3</v>
      </c>
      <c r="T50" s="501">
        <f t="shared" si="24"/>
        <v>0</v>
      </c>
      <c r="U50" s="15"/>
      <c r="V50" s="480"/>
      <c r="W50" s="15"/>
      <c r="X50" s="15"/>
      <c r="Y50" s="15"/>
      <c r="Z50" s="15"/>
      <c r="AA50" s="15"/>
    </row>
    <row r="51" spans="1:27" ht="12.95" customHeight="1" x14ac:dyDescent="0.25">
      <c r="A51" s="478" t="s">
        <v>318</v>
      </c>
      <c r="B51" s="486">
        <v>365000</v>
      </c>
      <c r="C51" s="545" t="str">
        <f>Hours!I49</f>
        <v xml:space="preserve"> </v>
      </c>
      <c r="D51" s="480">
        <v>0</v>
      </c>
      <c r="E51" s="506">
        <f t="shared" si="18"/>
        <v>0</v>
      </c>
      <c r="F51" s="480">
        <v>8</v>
      </c>
      <c r="G51" s="498">
        <v>0.44</v>
      </c>
      <c r="H51" s="501">
        <f>E51*G51</f>
        <v>0</v>
      </c>
      <c r="I51" s="499">
        <v>0.1</v>
      </c>
      <c r="J51" s="500">
        <f t="shared" si="19"/>
        <v>0.18744401757481335</v>
      </c>
      <c r="K51" s="501">
        <f t="shared" si="20"/>
        <v>0</v>
      </c>
      <c r="L51" s="501">
        <f>((E51-(G51*E51))/F51)</f>
        <v>0</v>
      </c>
      <c r="M51" s="501">
        <f t="shared" si="21"/>
        <v>0</v>
      </c>
      <c r="N51" s="501">
        <f t="shared" si="17"/>
        <v>0</v>
      </c>
      <c r="O51" s="504">
        <v>0.01</v>
      </c>
      <c r="P51" s="501">
        <f t="shared" si="22"/>
        <v>0</v>
      </c>
      <c r="Q51" s="510">
        <v>0.2</v>
      </c>
      <c r="R51" s="511">
        <v>46</v>
      </c>
      <c r="S51" s="512">
        <f t="shared" si="23"/>
        <v>9.1999999999999998E-3</v>
      </c>
      <c r="T51" s="501">
        <f t="shared" si="24"/>
        <v>0</v>
      </c>
      <c r="U51" s="15"/>
      <c r="V51" s="480"/>
      <c r="W51" s="15"/>
      <c r="X51" s="15"/>
      <c r="Y51" s="15"/>
      <c r="Z51" s="15"/>
      <c r="AA51" s="15"/>
    </row>
    <row r="52" spans="1:27" ht="12.95" customHeight="1" x14ac:dyDescent="0.25">
      <c r="A52" s="491" t="s">
        <v>227</v>
      </c>
      <c r="B52" s="480"/>
      <c r="C52" s="546"/>
      <c r="D52" s="480"/>
      <c r="E52" s="490"/>
      <c r="F52" s="480"/>
      <c r="G52" s="480"/>
      <c r="H52" s="88"/>
      <c r="I52" s="480"/>
      <c r="J52" s="490"/>
      <c r="K52" s="88"/>
      <c r="L52" s="88"/>
      <c r="M52" s="88"/>
      <c r="N52" s="88">
        <f t="shared" si="17"/>
        <v>0</v>
      </c>
      <c r="O52" s="15"/>
      <c r="P52" s="88"/>
      <c r="Q52" s="15"/>
      <c r="R52" s="15"/>
      <c r="S52" s="88"/>
      <c r="T52" s="88"/>
      <c r="U52" s="15"/>
      <c r="V52" s="480"/>
      <c r="W52" s="15"/>
      <c r="X52" s="15"/>
      <c r="Y52" s="15"/>
      <c r="Z52" s="15"/>
      <c r="AA52" s="15"/>
    </row>
    <row r="53" spans="1:27" ht="12.95" customHeight="1" x14ac:dyDescent="0.25">
      <c r="A53" s="478" t="s">
        <v>228</v>
      </c>
      <c r="B53" s="486">
        <v>465000</v>
      </c>
      <c r="C53" s="545" t="str">
        <f>Hours!I53</f>
        <v xml:space="preserve"> </v>
      </c>
      <c r="D53" s="480">
        <v>0</v>
      </c>
      <c r="E53" s="506">
        <f t="shared" ref="E53:E70" si="25">B53*D53</f>
        <v>0</v>
      </c>
      <c r="F53" s="480">
        <v>8</v>
      </c>
      <c r="G53" s="498">
        <v>0.28000000000000003</v>
      </c>
      <c r="H53" s="501">
        <f t="shared" ref="H53:H70" si="26">E53*G53</f>
        <v>0</v>
      </c>
      <c r="I53" s="499">
        <v>0.1</v>
      </c>
      <c r="J53" s="500">
        <f t="shared" ref="J53:J70" si="27">(I53*(1+I53)^F53)/((1+I53)^F53-1)</f>
        <v>0.18744401757481335</v>
      </c>
      <c r="K53" s="501">
        <f t="shared" ref="K53:K70" si="28">((E53-(G53*E53))*J53)+(I53*(G53*E53))</f>
        <v>0</v>
      </c>
      <c r="L53" s="501">
        <f t="shared" ref="L53:L70" si="29">((E53-(G53*E53))/F53)</f>
        <v>0</v>
      </c>
      <c r="M53" s="501">
        <f t="shared" ref="M53:M70" si="30">K53-L53</f>
        <v>0</v>
      </c>
      <c r="N53" s="501">
        <f t="shared" si="17"/>
        <v>0</v>
      </c>
      <c r="O53" s="504">
        <v>0.01</v>
      </c>
      <c r="P53" s="501">
        <f t="shared" ref="P53:P70" si="31">N53*O53</f>
        <v>0</v>
      </c>
      <c r="Q53" s="510">
        <v>0.2</v>
      </c>
      <c r="R53" s="511">
        <v>46</v>
      </c>
      <c r="S53" s="512">
        <f t="shared" ref="S53:S70" si="32">Q53*(R53/1000)</f>
        <v>9.1999999999999998E-3</v>
      </c>
      <c r="T53" s="501">
        <f t="shared" ref="T53:T70" si="33">N53*S53</f>
        <v>0</v>
      </c>
      <c r="U53" s="15"/>
      <c r="V53" s="480"/>
      <c r="W53" s="15"/>
      <c r="X53" s="15"/>
      <c r="Y53" s="15"/>
      <c r="Z53" s="15"/>
      <c r="AA53" s="15"/>
    </row>
    <row r="54" spans="1:27" ht="12.95" customHeight="1" x14ac:dyDescent="0.25">
      <c r="A54" s="478" t="s">
        <v>319</v>
      </c>
      <c r="B54" s="486">
        <v>30500</v>
      </c>
      <c r="C54" s="545" t="str">
        <f>Hours!I54</f>
        <v xml:space="preserve"> </v>
      </c>
      <c r="D54" s="480">
        <v>0</v>
      </c>
      <c r="E54" s="506">
        <f t="shared" si="25"/>
        <v>0</v>
      </c>
      <c r="F54" s="480">
        <v>8</v>
      </c>
      <c r="G54" s="498">
        <v>0.4</v>
      </c>
      <c r="H54" s="501">
        <f t="shared" si="26"/>
        <v>0</v>
      </c>
      <c r="I54" s="499">
        <v>0.1</v>
      </c>
      <c r="J54" s="500">
        <f t="shared" si="27"/>
        <v>0.18744401757481335</v>
      </c>
      <c r="K54" s="501">
        <f t="shared" si="28"/>
        <v>0</v>
      </c>
      <c r="L54" s="501">
        <f t="shared" si="29"/>
        <v>0</v>
      </c>
      <c r="M54" s="501">
        <f t="shared" si="30"/>
        <v>0</v>
      </c>
      <c r="N54" s="501">
        <f t="shared" si="17"/>
        <v>0</v>
      </c>
      <c r="O54" s="504">
        <v>0.01</v>
      </c>
      <c r="P54" s="501">
        <f t="shared" si="31"/>
        <v>0</v>
      </c>
      <c r="Q54" s="510">
        <v>0.2</v>
      </c>
      <c r="R54" s="511">
        <v>46</v>
      </c>
      <c r="S54" s="512">
        <f t="shared" si="32"/>
        <v>9.1999999999999998E-3</v>
      </c>
      <c r="T54" s="501">
        <f t="shared" si="33"/>
        <v>0</v>
      </c>
      <c r="U54" s="15"/>
      <c r="V54" s="480"/>
      <c r="W54" s="15"/>
      <c r="X54" s="15"/>
      <c r="Y54" s="15"/>
      <c r="Z54" s="15"/>
      <c r="AA54" s="15"/>
    </row>
    <row r="55" spans="1:27" ht="12.95" customHeight="1" x14ac:dyDescent="0.25">
      <c r="A55" s="478" t="s">
        <v>320</v>
      </c>
      <c r="B55" s="486">
        <v>34700</v>
      </c>
      <c r="C55" s="545" t="str">
        <f>Hours!I55</f>
        <v xml:space="preserve"> </v>
      </c>
      <c r="D55" s="480">
        <v>0</v>
      </c>
      <c r="E55" s="506">
        <f t="shared" si="25"/>
        <v>0</v>
      </c>
      <c r="F55" s="480">
        <v>8</v>
      </c>
      <c r="G55" s="498">
        <v>0.4</v>
      </c>
      <c r="H55" s="501">
        <f t="shared" si="26"/>
        <v>0</v>
      </c>
      <c r="I55" s="499">
        <v>0.1</v>
      </c>
      <c r="J55" s="500">
        <f t="shared" si="27"/>
        <v>0.18744401757481335</v>
      </c>
      <c r="K55" s="501">
        <f t="shared" si="28"/>
        <v>0</v>
      </c>
      <c r="L55" s="501">
        <f t="shared" si="29"/>
        <v>0</v>
      </c>
      <c r="M55" s="501">
        <f t="shared" si="30"/>
        <v>0</v>
      </c>
      <c r="N55" s="501">
        <f t="shared" si="17"/>
        <v>0</v>
      </c>
      <c r="O55" s="504">
        <v>0.01</v>
      </c>
      <c r="P55" s="501">
        <f t="shared" si="31"/>
        <v>0</v>
      </c>
      <c r="Q55" s="510">
        <v>0.2</v>
      </c>
      <c r="R55" s="511">
        <v>46</v>
      </c>
      <c r="S55" s="512">
        <f t="shared" si="32"/>
        <v>9.1999999999999998E-3</v>
      </c>
      <c r="T55" s="501">
        <f t="shared" si="33"/>
        <v>0</v>
      </c>
      <c r="U55" s="15"/>
      <c r="V55" s="480"/>
      <c r="W55" s="15"/>
      <c r="X55" s="15"/>
      <c r="Y55" s="15"/>
      <c r="Z55" s="15"/>
      <c r="AA55" s="15"/>
    </row>
    <row r="56" spans="1:27" ht="12.95" customHeight="1" x14ac:dyDescent="0.25">
      <c r="A56" s="478" t="s">
        <v>229</v>
      </c>
      <c r="B56" s="486">
        <v>808000</v>
      </c>
      <c r="C56" s="545" t="str">
        <f>Hours!I56</f>
        <v xml:space="preserve"> </v>
      </c>
      <c r="D56" s="480">
        <v>0</v>
      </c>
      <c r="E56" s="506">
        <f t="shared" si="25"/>
        <v>0</v>
      </c>
      <c r="F56" s="480">
        <v>8</v>
      </c>
      <c r="G56" s="498">
        <v>0.28000000000000003</v>
      </c>
      <c r="H56" s="501">
        <f t="shared" si="26"/>
        <v>0</v>
      </c>
      <c r="I56" s="499">
        <v>0.1</v>
      </c>
      <c r="J56" s="500">
        <f t="shared" si="27"/>
        <v>0.18744401757481335</v>
      </c>
      <c r="K56" s="501">
        <f t="shared" si="28"/>
        <v>0</v>
      </c>
      <c r="L56" s="501">
        <f t="shared" si="29"/>
        <v>0</v>
      </c>
      <c r="M56" s="501">
        <f t="shared" si="30"/>
        <v>0</v>
      </c>
      <c r="N56" s="501">
        <f t="shared" si="17"/>
        <v>0</v>
      </c>
      <c r="O56" s="504">
        <v>0.01</v>
      </c>
      <c r="P56" s="501">
        <f t="shared" si="31"/>
        <v>0</v>
      </c>
      <c r="Q56" s="510">
        <v>0.2</v>
      </c>
      <c r="R56" s="511">
        <v>46</v>
      </c>
      <c r="S56" s="512">
        <f t="shared" si="32"/>
        <v>9.1999999999999998E-3</v>
      </c>
      <c r="T56" s="501">
        <f t="shared" si="33"/>
        <v>0</v>
      </c>
      <c r="U56" s="15"/>
      <c r="V56" s="480"/>
      <c r="W56" s="15"/>
      <c r="X56" s="15"/>
      <c r="Y56" s="15"/>
      <c r="Z56" s="15"/>
      <c r="AA56" s="15"/>
    </row>
    <row r="57" spans="1:27" ht="12.95" customHeight="1" x14ac:dyDescent="0.25">
      <c r="A57" s="478" t="s">
        <v>321</v>
      </c>
      <c r="B57" s="486">
        <v>13750</v>
      </c>
      <c r="C57" s="545" t="str">
        <f>Hours!I57</f>
        <v xml:space="preserve"> </v>
      </c>
      <c r="D57" s="480">
        <v>0</v>
      </c>
      <c r="E57" s="506">
        <f t="shared" si="25"/>
        <v>0</v>
      </c>
      <c r="F57" s="480">
        <v>8</v>
      </c>
      <c r="G57" s="498">
        <v>0.4</v>
      </c>
      <c r="H57" s="501">
        <f t="shared" si="26"/>
        <v>0</v>
      </c>
      <c r="I57" s="499">
        <v>0.1</v>
      </c>
      <c r="J57" s="500">
        <f t="shared" si="27"/>
        <v>0.18744401757481335</v>
      </c>
      <c r="K57" s="501">
        <f t="shared" si="28"/>
        <v>0</v>
      </c>
      <c r="L57" s="501">
        <f t="shared" si="29"/>
        <v>0</v>
      </c>
      <c r="M57" s="501">
        <f t="shared" si="30"/>
        <v>0</v>
      </c>
      <c r="N57" s="501">
        <f t="shared" si="17"/>
        <v>0</v>
      </c>
      <c r="O57" s="504">
        <v>0.01</v>
      </c>
      <c r="P57" s="501">
        <f t="shared" si="31"/>
        <v>0</v>
      </c>
      <c r="Q57" s="510">
        <v>0.2</v>
      </c>
      <c r="R57" s="511">
        <v>46</v>
      </c>
      <c r="S57" s="512">
        <f t="shared" si="32"/>
        <v>9.1999999999999998E-3</v>
      </c>
      <c r="T57" s="501">
        <f t="shared" si="33"/>
        <v>0</v>
      </c>
      <c r="U57" s="15"/>
      <c r="V57" s="480"/>
      <c r="W57" s="15"/>
      <c r="X57" s="15"/>
      <c r="Y57" s="15"/>
      <c r="Z57" s="15"/>
      <c r="AA57" s="15"/>
    </row>
    <row r="58" spans="1:27" ht="12.95" customHeight="1" x14ac:dyDescent="0.25">
      <c r="A58" s="478" t="s">
        <v>230</v>
      </c>
      <c r="B58" s="486">
        <v>413700</v>
      </c>
      <c r="C58" s="545">
        <f>Hours!I58</f>
        <v>310.79365079365078</v>
      </c>
      <c r="D58" s="480">
        <v>0</v>
      </c>
      <c r="E58" s="506">
        <f t="shared" si="25"/>
        <v>0</v>
      </c>
      <c r="F58" s="480">
        <v>8</v>
      </c>
      <c r="G58" s="498">
        <v>0.28000000000000003</v>
      </c>
      <c r="H58" s="501">
        <f t="shared" si="26"/>
        <v>0</v>
      </c>
      <c r="I58" s="499">
        <v>0.1</v>
      </c>
      <c r="J58" s="500">
        <f t="shared" si="27"/>
        <v>0.18744401757481335</v>
      </c>
      <c r="K58" s="501">
        <f t="shared" si="28"/>
        <v>0</v>
      </c>
      <c r="L58" s="501">
        <f t="shared" si="29"/>
        <v>0</v>
      </c>
      <c r="M58" s="501">
        <f t="shared" si="30"/>
        <v>0</v>
      </c>
      <c r="N58" s="501">
        <f t="shared" si="17"/>
        <v>0</v>
      </c>
      <c r="O58" s="504">
        <v>0.01</v>
      </c>
      <c r="P58" s="501">
        <f t="shared" si="31"/>
        <v>0</v>
      </c>
      <c r="Q58" s="510">
        <v>0.2</v>
      </c>
      <c r="R58" s="511">
        <v>46</v>
      </c>
      <c r="S58" s="512">
        <f t="shared" si="32"/>
        <v>9.1999999999999998E-3</v>
      </c>
      <c r="T58" s="501">
        <f t="shared" si="33"/>
        <v>0</v>
      </c>
      <c r="U58" s="15"/>
      <c r="V58" s="480"/>
      <c r="W58" s="15"/>
      <c r="X58" s="15"/>
      <c r="Y58" s="15"/>
      <c r="Z58" s="15"/>
      <c r="AA58" s="15"/>
    </row>
    <row r="59" spans="1:27" ht="12.95" customHeight="1" x14ac:dyDescent="0.25">
      <c r="A59" s="478" t="s">
        <v>231</v>
      </c>
      <c r="B59" s="486">
        <v>67900</v>
      </c>
      <c r="C59" s="545" t="str">
        <f>Hours!I59</f>
        <v xml:space="preserve"> </v>
      </c>
      <c r="D59" s="480">
        <v>0</v>
      </c>
      <c r="E59" s="506">
        <f t="shared" si="25"/>
        <v>0</v>
      </c>
      <c r="F59" s="480">
        <v>8</v>
      </c>
      <c r="G59" s="498">
        <v>0.28000000000000003</v>
      </c>
      <c r="H59" s="501">
        <f t="shared" si="26"/>
        <v>0</v>
      </c>
      <c r="I59" s="499">
        <v>0.1</v>
      </c>
      <c r="J59" s="500">
        <f t="shared" si="27"/>
        <v>0.18744401757481335</v>
      </c>
      <c r="K59" s="501">
        <f t="shared" si="28"/>
        <v>0</v>
      </c>
      <c r="L59" s="501">
        <f t="shared" si="29"/>
        <v>0</v>
      </c>
      <c r="M59" s="501">
        <f t="shared" si="30"/>
        <v>0</v>
      </c>
      <c r="N59" s="501">
        <f t="shared" si="17"/>
        <v>0</v>
      </c>
      <c r="O59" s="504">
        <v>0.01</v>
      </c>
      <c r="P59" s="501">
        <f t="shared" si="31"/>
        <v>0</v>
      </c>
      <c r="Q59" s="510">
        <v>0.2</v>
      </c>
      <c r="R59" s="511">
        <v>46</v>
      </c>
      <c r="S59" s="512">
        <f t="shared" si="32"/>
        <v>9.1999999999999998E-3</v>
      </c>
      <c r="T59" s="501">
        <f t="shared" si="33"/>
        <v>0</v>
      </c>
      <c r="U59" s="15"/>
      <c r="V59" s="480"/>
      <c r="W59" s="15"/>
      <c r="X59" s="15"/>
      <c r="Y59" s="15"/>
      <c r="Z59" s="15"/>
      <c r="AA59" s="15"/>
    </row>
    <row r="60" spans="1:27" ht="12.95" customHeight="1" x14ac:dyDescent="0.25">
      <c r="A60" s="478" t="s">
        <v>232</v>
      </c>
      <c r="B60" s="486">
        <v>43800</v>
      </c>
      <c r="C60" s="545">
        <f>Hours!I60</f>
        <v>122.22222222222221</v>
      </c>
      <c r="D60" s="480">
        <v>0</v>
      </c>
      <c r="E60" s="506">
        <f t="shared" si="25"/>
        <v>0</v>
      </c>
      <c r="F60" s="480">
        <v>8</v>
      </c>
      <c r="G60" s="498">
        <v>0.28000000000000003</v>
      </c>
      <c r="H60" s="501">
        <f t="shared" si="26"/>
        <v>0</v>
      </c>
      <c r="I60" s="499">
        <v>0.1</v>
      </c>
      <c r="J60" s="500">
        <f t="shared" si="27"/>
        <v>0.18744401757481335</v>
      </c>
      <c r="K60" s="501">
        <f t="shared" si="28"/>
        <v>0</v>
      </c>
      <c r="L60" s="501">
        <f t="shared" si="29"/>
        <v>0</v>
      </c>
      <c r="M60" s="501">
        <f t="shared" si="30"/>
        <v>0</v>
      </c>
      <c r="N60" s="501">
        <f t="shared" si="17"/>
        <v>0</v>
      </c>
      <c r="O60" s="504">
        <v>0.01</v>
      </c>
      <c r="P60" s="501">
        <f t="shared" si="31"/>
        <v>0</v>
      </c>
      <c r="Q60" s="510">
        <v>0.2</v>
      </c>
      <c r="R60" s="511">
        <v>46</v>
      </c>
      <c r="S60" s="512">
        <f t="shared" si="32"/>
        <v>9.1999999999999998E-3</v>
      </c>
      <c r="T60" s="501">
        <f t="shared" si="33"/>
        <v>0</v>
      </c>
      <c r="U60" s="15"/>
      <c r="V60" s="480"/>
      <c r="W60" s="15"/>
      <c r="X60" s="15"/>
      <c r="Y60" s="15"/>
      <c r="Z60" s="15"/>
      <c r="AA60" s="15"/>
    </row>
    <row r="61" spans="1:27" ht="12.95" customHeight="1" x14ac:dyDescent="0.25">
      <c r="A61" s="478" t="s">
        <v>233</v>
      </c>
      <c r="B61" s="486">
        <v>78600</v>
      </c>
      <c r="C61" s="545">
        <f>Hours!I61</f>
        <v>188.57142857142858</v>
      </c>
      <c r="D61" s="480">
        <v>0</v>
      </c>
      <c r="E61" s="506">
        <f t="shared" si="25"/>
        <v>0</v>
      </c>
      <c r="F61" s="480">
        <v>8</v>
      </c>
      <c r="G61" s="498">
        <v>0.28000000000000003</v>
      </c>
      <c r="H61" s="501">
        <f t="shared" si="26"/>
        <v>0</v>
      </c>
      <c r="I61" s="499">
        <v>0.1</v>
      </c>
      <c r="J61" s="500">
        <f t="shared" si="27"/>
        <v>0.18744401757481335</v>
      </c>
      <c r="K61" s="501">
        <f t="shared" si="28"/>
        <v>0</v>
      </c>
      <c r="L61" s="501">
        <f t="shared" si="29"/>
        <v>0</v>
      </c>
      <c r="M61" s="501">
        <f t="shared" si="30"/>
        <v>0</v>
      </c>
      <c r="N61" s="501">
        <f t="shared" si="17"/>
        <v>0</v>
      </c>
      <c r="O61" s="504">
        <v>0.01</v>
      </c>
      <c r="P61" s="501">
        <f t="shared" si="31"/>
        <v>0</v>
      </c>
      <c r="Q61" s="510">
        <v>0.2</v>
      </c>
      <c r="R61" s="511">
        <v>46</v>
      </c>
      <c r="S61" s="512">
        <f t="shared" si="32"/>
        <v>9.1999999999999998E-3</v>
      </c>
      <c r="T61" s="501">
        <f t="shared" si="33"/>
        <v>0</v>
      </c>
      <c r="U61" s="15"/>
      <c r="V61" s="480"/>
      <c r="W61" s="15"/>
      <c r="X61" s="15"/>
      <c r="Y61" s="15"/>
      <c r="Z61" s="15"/>
      <c r="AA61" s="15"/>
    </row>
    <row r="62" spans="1:27" ht="12.95" customHeight="1" x14ac:dyDescent="0.25">
      <c r="A62" s="478" t="s">
        <v>234</v>
      </c>
      <c r="B62" s="486">
        <v>29100</v>
      </c>
      <c r="C62" s="545" t="str">
        <f>Hours!I62</f>
        <v xml:space="preserve"> </v>
      </c>
      <c r="D62" s="480">
        <v>0</v>
      </c>
      <c r="E62" s="506">
        <f t="shared" si="25"/>
        <v>0</v>
      </c>
      <c r="F62" s="480">
        <v>8</v>
      </c>
      <c r="G62" s="498">
        <v>0.28000000000000003</v>
      </c>
      <c r="H62" s="501">
        <f t="shared" si="26"/>
        <v>0</v>
      </c>
      <c r="I62" s="499">
        <v>0.1</v>
      </c>
      <c r="J62" s="500">
        <f t="shared" si="27"/>
        <v>0.18744401757481335</v>
      </c>
      <c r="K62" s="501">
        <f t="shared" si="28"/>
        <v>0</v>
      </c>
      <c r="L62" s="501">
        <f t="shared" si="29"/>
        <v>0</v>
      </c>
      <c r="M62" s="501">
        <f t="shared" si="30"/>
        <v>0</v>
      </c>
      <c r="N62" s="501">
        <f t="shared" si="17"/>
        <v>0</v>
      </c>
      <c r="O62" s="504">
        <v>0.01</v>
      </c>
      <c r="P62" s="501">
        <f t="shared" si="31"/>
        <v>0</v>
      </c>
      <c r="Q62" s="510">
        <v>0.2</v>
      </c>
      <c r="R62" s="511">
        <v>46</v>
      </c>
      <c r="S62" s="512">
        <f t="shared" si="32"/>
        <v>9.1999999999999998E-3</v>
      </c>
      <c r="T62" s="501">
        <f t="shared" si="33"/>
        <v>0</v>
      </c>
      <c r="U62" s="15"/>
      <c r="V62" s="480"/>
      <c r="W62" s="15"/>
      <c r="X62" s="15"/>
      <c r="Y62" s="15"/>
      <c r="Z62" s="15"/>
      <c r="AA62" s="15"/>
    </row>
    <row r="63" spans="1:27" ht="12.95" customHeight="1" x14ac:dyDescent="0.25">
      <c r="A63" s="478" t="s">
        <v>322</v>
      </c>
      <c r="B63" s="486">
        <v>58400</v>
      </c>
      <c r="C63" s="545">
        <f>Hours!I63</f>
        <v>310.79365079365078</v>
      </c>
      <c r="D63" s="480">
        <v>0</v>
      </c>
      <c r="E63" s="506">
        <f t="shared" si="25"/>
        <v>0</v>
      </c>
      <c r="F63" s="480">
        <v>8</v>
      </c>
      <c r="G63" s="498">
        <v>0.4</v>
      </c>
      <c r="H63" s="501">
        <f t="shared" si="26"/>
        <v>0</v>
      </c>
      <c r="I63" s="499">
        <v>0.1</v>
      </c>
      <c r="J63" s="500">
        <f t="shared" si="27"/>
        <v>0.18744401757481335</v>
      </c>
      <c r="K63" s="501">
        <f t="shared" si="28"/>
        <v>0</v>
      </c>
      <c r="L63" s="501">
        <f t="shared" si="29"/>
        <v>0</v>
      </c>
      <c r="M63" s="501">
        <f t="shared" si="30"/>
        <v>0</v>
      </c>
      <c r="N63" s="501">
        <f t="shared" si="17"/>
        <v>0</v>
      </c>
      <c r="O63" s="504">
        <v>0.01</v>
      </c>
      <c r="P63" s="501">
        <f t="shared" si="31"/>
        <v>0</v>
      </c>
      <c r="Q63" s="510">
        <v>0.2</v>
      </c>
      <c r="R63" s="511">
        <v>46</v>
      </c>
      <c r="S63" s="512">
        <f t="shared" si="32"/>
        <v>9.1999999999999998E-3</v>
      </c>
      <c r="T63" s="501">
        <f t="shared" si="33"/>
        <v>0</v>
      </c>
      <c r="U63" s="15"/>
      <c r="V63" s="480"/>
      <c r="W63" s="15"/>
      <c r="X63" s="15"/>
      <c r="Y63" s="15"/>
      <c r="Z63" s="15"/>
      <c r="AA63" s="15"/>
    </row>
    <row r="64" spans="1:27" ht="12.95" customHeight="1" x14ac:dyDescent="0.25">
      <c r="A64" s="478" t="s">
        <v>235</v>
      </c>
      <c r="B64" s="486">
        <v>0</v>
      </c>
      <c r="C64" s="545" t="str">
        <f>Hours!I64</f>
        <v xml:space="preserve"> </v>
      </c>
      <c r="D64" s="480">
        <v>0</v>
      </c>
      <c r="E64" s="506">
        <f t="shared" si="25"/>
        <v>0</v>
      </c>
      <c r="F64" s="480">
        <v>8</v>
      </c>
      <c r="G64" s="498">
        <v>0.28000000000000003</v>
      </c>
      <c r="H64" s="501">
        <f t="shared" si="26"/>
        <v>0</v>
      </c>
      <c r="I64" s="499">
        <v>0.1</v>
      </c>
      <c r="J64" s="500">
        <f t="shared" si="27"/>
        <v>0.18744401757481335</v>
      </c>
      <c r="K64" s="501">
        <f t="shared" si="28"/>
        <v>0</v>
      </c>
      <c r="L64" s="501">
        <f t="shared" si="29"/>
        <v>0</v>
      </c>
      <c r="M64" s="501">
        <f t="shared" si="30"/>
        <v>0</v>
      </c>
      <c r="N64" s="501">
        <f t="shared" si="17"/>
        <v>0</v>
      </c>
      <c r="O64" s="504">
        <v>0.01</v>
      </c>
      <c r="P64" s="501">
        <f t="shared" si="31"/>
        <v>0</v>
      </c>
      <c r="Q64" s="510">
        <v>0.2</v>
      </c>
      <c r="R64" s="511">
        <v>46</v>
      </c>
      <c r="S64" s="512">
        <f t="shared" si="32"/>
        <v>9.1999999999999998E-3</v>
      </c>
      <c r="T64" s="501">
        <f t="shared" si="33"/>
        <v>0</v>
      </c>
      <c r="U64" s="15"/>
      <c r="V64" s="480"/>
      <c r="W64" s="15"/>
      <c r="X64" s="15"/>
      <c r="Y64" s="15"/>
      <c r="Z64" s="15"/>
      <c r="AA64" s="15"/>
    </row>
    <row r="65" spans="1:27" ht="12.95" customHeight="1" x14ac:dyDescent="0.25">
      <c r="A65" s="478" t="s">
        <v>323</v>
      </c>
      <c r="B65" s="486">
        <v>155000</v>
      </c>
      <c r="C65" s="545" t="str">
        <f>Hours!I65</f>
        <v xml:space="preserve"> </v>
      </c>
      <c r="D65" s="480">
        <v>0</v>
      </c>
      <c r="E65" s="506">
        <f t="shared" si="25"/>
        <v>0</v>
      </c>
      <c r="F65" s="480">
        <v>8</v>
      </c>
      <c r="G65" s="498">
        <v>0.28000000000000003</v>
      </c>
      <c r="H65" s="501">
        <f t="shared" si="26"/>
        <v>0</v>
      </c>
      <c r="I65" s="499">
        <v>0.1</v>
      </c>
      <c r="J65" s="500">
        <f t="shared" si="27"/>
        <v>0.18744401757481335</v>
      </c>
      <c r="K65" s="501">
        <f t="shared" si="28"/>
        <v>0</v>
      </c>
      <c r="L65" s="501">
        <f t="shared" si="29"/>
        <v>0</v>
      </c>
      <c r="M65" s="501">
        <f t="shared" si="30"/>
        <v>0</v>
      </c>
      <c r="N65" s="501">
        <f t="shared" si="17"/>
        <v>0</v>
      </c>
      <c r="O65" s="504">
        <v>0.01</v>
      </c>
      <c r="P65" s="501">
        <f t="shared" si="31"/>
        <v>0</v>
      </c>
      <c r="Q65" s="510">
        <v>0.2</v>
      </c>
      <c r="R65" s="511">
        <v>46</v>
      </c>
      <c r="S65" s="512">
        <f t="shared" si="32"/>
        <v>9.1999999999999998E-3</v>
      </c>
      <c r="T65" s="501">
        <f t="shared" si="33"/>
        <v>0</v>
      </c>
      <c r="U65" s="15"/>
      <c r="V65" s="480"/>
      <c r="W65" s="15"/>
      <c r="X65" s="15"/>
      <c r="Y65" s="15"/>
      <c r="Z65" s="15"/>
      <c r="AA65" s="15"/>
    </row>
    <row r="66" spans="1:27" ht="12.95" customHeight="1" x14ac:dyDescent="0.25">
      <c r="A66" s="478" t="s">
        <v>324</v>
      </c>
      <c r="B66" s="486">
        <v>55800</v>
      </c>
      <c r="C66" s="545" t="str">
        <f>Hours!I66</f>
        <v xml:space="preserve"> </v>
      </c>
      <c r="D66" s="480">
        <v>0</v>
      </c>
      <c r="E66" s="506">
        <f t="shared" si="25"/>
        <v>0</v>
      </c>
      <c r="F66" s="480">
        <v>8</v>
      </c>
      <c r="G66" s="498">
        <v>0.4</v>
      </c>
      <c r="H66" s="501">
        <f t="shared" si="26"/>
        <v>0</v>
      </c>
      <c r="I66" s="499">
        <v>0.1</v>
      </c>
      <c r="J66" s="500">
        <f t="shared" si="27"/>
        <v>0.18744401757481335</v>
      </c>
      <c r="K66" s="501">
        <f t="shared" si="28"/>
        <v>0</v>
      </c>
      <c r="L66" s="501">
        <f t="shared" si="29"/>
        <v>0</v>
      </c>
      <c r="M66" s="501">
        <f t="shared" si="30"/>
        <v>0</v>
      </c>
      <c r="N66" s="501">
        <f t="shared" si="17"/>
        <v>0</v>
      </c>
      <c r="O66" s="504">
        <v>0.01</v>
      </c>
      <c r="P66" s="501">
        <f t="shared" si="31"/>
        <v>0</v>
      </c>
      <c r="Q66" s="510">
        <v>0.2</v>
      </c>
      <c r="R66" s="511">
        <v>46</v>
      </c>
      <c r="S66" s="512">
        <f t="shared" si="32"/>
        <v>9.1999999999999998E-3</v>
      </c>
      <c r="T66" s="501">
        <f t="shared" si="33"/>
        <v>0</v>
      </c>
      <c r="U66" s="15"/>
      <c r="V66" s="480"/>
      <c r="W66" s="15"/>
      <c r="X66" s="15"/>
      <c r="Y66" s="15"/>
      <c r="Z66" s="15"/>
      <c r="AA66" s="15"/>
    </row>
    <row r="67" spans="1:27" ht="12.95" customHeight="1" x14ac:dyDescent="0.25">
      <c r="A67" s="478" t="s">
        <v>325</v>
      </c>
      <c r="B67" s="486">
        <v>6500</v>
      </c>
      <c r="C67" s="545" t="str">
        <f>Hours!I67</f>
        <v xml:space="preserve"> </v>
      </c>
      <c r="D67" s="480">
        <v>0</v>
      </c>
      <c r="E67" s="506">
        <f t="shared" si="25"/>
        <v>0</v>
      </c>
      <c r="F67" s="480">
        <v>8</v>
      </c>
      <c r="G67" s="498">
        <v>0.4</v>
      </c>
      <c r="H67" s="501">
        <f t="shared" si="26"/>
        <v>0</v>
      </c>
      <c r="I67" s="499">
        <v>0.1</v>
      </c>
      <c r="J67" s="500">
        <f t="shared" si="27"/>
        <v>0.18744401757481335</v>
      </c>
      <c r="K67" s="501">
        <f t="shared" si="28"/>
        <v>0</v>
      </c>
      <c r="L67" s="501">
        <f t="shared" si="29"/>
        <v>0</v>
      </c>
      <c r="M67" s="501">
        <f t="shared" si="30"/>
        <v>0</v>
      </c>
      <c r="N67" s="501">
        <f t="shared" si="17"/>
        <v>0</v>
      </c>
      <c r="O67" s="504">
        <v>0.01</v>
      </c>
      <c r="P67" s="501">
        <f t="shared" si="31"/>
        <v>0</v>
      </c>
      <c r="Q67" s="510">
        <v>0.2</v>
      </c>
      <c r="R67" s="511">
        <v>46</v>
      </c>
      <c r="S67" s="512">
        <f t="shared" si="32"/>
        <v>9.1999999999999998E-3</v>
      </c>
      <c r="T67" s="501">
        <f t="shared" si="33"/>
        <v>0</v>
      </c>
      <c r="U67" s="15"/>
      <c r="V67" s="480"/>
      <c r="W67" s="15"/>
      <c r="X67" s="15"/>
      <c r="Y67" s="15"/>
      <c r="Z67" s="15"/>
      <c r="AA67" s="15"/>
    </row>
    <row r="68" spans="1:27" ht="12.95" customHeight="1" x14ac:dyDescent="0.25">
      <c r="A68" s="478" t="s">
        <v>235</v>
      </c>
      <c r="B68" s="486">
        <v>0</v>
      </c>
      <c r="C68" s="545" t="str">
        <f>Hours!I68</f>
        <v xml:space="preserve"> </v>
      </c>
      <c r="D68" s="480">
        <v>0</v>
      </c>
      <c r="E68" s="506">
        <f t="shared" si="25"/>
        <v>0</v>
      </c>
      <c r="F68" s="480">
        <v>8</v>
      </c>
      <c r="G68" s="498">
        <v>0.28000000000000003</v>
      </c>
      <c r="H68" s="501">
        <f t="shared" si="26"/>
        <v>0</v>
      </c>
      <c r="I68" s="499">
        <v>0.1</v>
      </c>
      <c r="J68" s="500">
        <f t="shared" si="27"/>
        <v>0.18744401757481335</v>
      </c>
      <c r="K68" s="501">
        <f t="shared" si="28"/>
        <v>0</v>
      </c>
      <c r="L68" s="501">
        <f t="shared" si="29"/>
        <v>0</v>
      </c>
      <c r="M68" s="501">
        <f t="shared" si="30"/>
        <v>0</v>
      </c>
      <c r="N68" s="501">
        <f t="shared" si="17"/>
        <v>0</v>
      </c>
      <c r="O68" s="504">
        <v>0.01</v>
      </c>
      <c r="P68" s="501">
        <f t="shared" si="31"/>
        <v>0</v>
      </c>
      <c r="Q68" s="510">
        <v>0.2</v>
      </c>
      <c r="R68" s="511">
        <v>46</v>
      </c>
      <c r="S68" s="512">
        <f t="shared" si="32"/>
        <v>9.1999999999999998E-3</v>
      </c>
      <c r="T68" s="501">
        <f t="shared" si="33"/>
        <v>0</v>
      </c>
      <c r="U68" s="15"/>
      <c r="V68" s="480"/>
      <c r="W68" s="15"/>
      <c r="X68" s="15"/>
      <c r="Y68" s="15"/>
      <c r="Z68" s="15"/>
      <c r="AA68" s="15"/>
    </row>
    <row r="69" spans="1:27" ht="12.95" customHeight="1" x14ac:dyDescent="0.25">
      <c r="A69" s="470" t="s">
        <v>235</v>
      </c>
      <c r="B69" s="486">
        <v>0</v>
      </c>
      <c r="C69" s="545" t="str">
        <f>Hours!I69</f>
        <v xml:space="preserve"> </v>
      </c>
      <c r="D69" s="480">
        <v>0</v>
      </c>
      <c r="E69" s="506">
        <f t="shared" si="25"/>
        <v>0</v>
      </c>
      <c r="F69" s="480">
        <v>8</v>
      </c>
      <c r="G69" s="498">
        <v>0.4</v>
      </c>
      <c r="H69" s="501">
        <f t="shared" si="26"/>
        <v>0</v>
      </c>
      <c r="I69" s="499">
        <v>0.1</v>
      </c>
      <c r="J69" s="500">
        <f t="shared" si="27"/>
        <v>0.18744401757481335</v>
      </c>
      <c r="K69" s="501">
        <f t="shared" si="28"/>
        <v>0</v>
      </c>
      <c r="L69" s="501">
        <f t="shared" si="29"/>
        <v>0</v>
      </c>
      <c r="M69" s="501">
        <f t="shared" si="30"/>
        <v>0</v>
      </c>
      <c r="N69" s="501">
        <f t="shared" si="17"/>
        <v>0</v>
      </c>
      <c r="O69" s="504">
        <v>0.01</v>
      </c>
      <c r="P69" s="501">
        <f t="shared" si="31"/>
        <v>0</v>
      </c>
      <c r="Q69" s="510">
        <v>0.2</v>
      </c>
      <c r="R69" s="511">
        <v>46</v>
      </c>
      <c r="S69" s="512">
        <f t="shared" si="32"/>
        <v>9.1999999999999998E-3</v>
      </c>
      <c r="T69" s="501">
        <f t="shared" si="33"/>
        <v>0</v>
      </c>
      <c r="U69" s="15"/>
      <c r="V69" s="480"/>
      <c r="W69" s="15"/>
      <c r="X69" s="15"/>
      <c r="Y69" s="15"/>
      <c r="Z69" s="15"/>
      <c r="AA69" s="15"/>
    </row>
    <row r="70" spans="1:27" ht="12.95" customHeight="1" x14ac:dyDescent="0.25">
      <c r="A70" s="470" t="s">
        <v>235</v>
      </c>
      <c r="B70" s="486">
        <v>0</v>
      </c>
      <c r="C70" s="545" t="str">
        <f>Hours!I70</f>
        <v xml:space="preserve"> </v>
      </c>
      <c r="D70" s="480">
        <v>0</v>
      </c>
      <c r="E70" s="506">
        <f t="shared" si="25"/>
        <v>0</v>
      </c>
      <c r="F70" s="480">
        <v>8</v>
      </c>
      <c r="G70" s="498">
        <v>0.4</v>
      </c>
      <c r="H70" s="501">
        <f t="shared" si="26"/>
        <v>0</v>
      </c>
      <c r="I70" s="499">
        <v>0.1</v>
      </c>
      <c r="J70" s="500">
        <f t="shared" si="27"/>
        <v>0.18744401757481335</v>
      </c>
      <c r="K70" s="501">
        <f t="shared" si="28"/>
        <v>0</v>
      </c>
      <c r="L70" s="501">
        <f t="shared" si="29"/>
        <v>0</v>
      </c>
      <c r="M70" s="501">
        <f t="shared" si="30"/>
        <v>0</v>
      </c>
      <c r="N70" s="501">
        <f t="shared" si="17"/>
        <v>0</v>
      </c>
      <c r="O70" s="504">
        <v>0.01</v>
      </c>
      <c r="P70" s="501">
        <f t="shared" si="31"/>
        <v>0</v>
      </c>
      <c r="Q70" s="510">
        <v>0.2</v>
      </c>
      <c r="R70" s="511">
        <v>46</v>
      </c>
      <c r="S70" s="512">
        <f t="shared" si="32"/>
        <v>9.1999999999999998E-3</v>
      </c>
      <c r="T70" s="501">
        <f t="shared" si="33"/>
        <v>0</v>
      </c>
      <c r="U70" s="15"/>
      <c r="V70" s="480"/>
      <c r="W70" s="15"/>
      <c r="X70" s="15"/>
      <c r="Y70" s="15"/>
      <c r="Z70" s="15"/>
      <c r="AA70" s="15"/>
    </row>
    <row r="71" spans="1:27" ht="16.5" customHeight="1" x14ac:dyDescent="0.25">
      <c r="A71" s="491" t="s">
        <v>279</v>
      </c>
      <c r="B71" s="486"/>
      <c r="C71" s="548"/>
      <c r="D71" s="480"/>
      <c r="E71" s="506"/>
      <c r="F71" s="480"/>
      <c r="G71" s="498"/>
      <c r="H71" s="501"/>
      <c r="I71" s="499"/>
      <c r="J71" s="500"/>
      <c r="K71" s="501"/>
      <c r="L71" s="501"/>
      <c r="M71" s="501"/>
      <c r="N71" s="501"/>
      <c r="O71" s="504"/>
      <c r="P71" s="501"/>
      <c r="Q71" s="15"/>
      <c r="R71" s="15"/>
      <c r="S71" s="512"/>
      <c r="T71" s="501"/>
      <c r="U71" s="15"/>
      <c r="V71" s="480"/>
      <c r="W71" s="15"/>
      <c r="X71" s="15"/>
      <c r="Y71" s="15"/>
      <c r="Z71" s="15"/>
      <c r="AA71" s="15"/>
    </row>
    <row r="72" spans="1:27" ht="12.95" customHeight="1" x14ac:dyDescent="0.25">
      <c r="A72" s="470" t="s">
        <v>275</v>
      </c>
      <c r="B72" s="486">
        <v>10835</v>
      </c>
      <c r="C72" s="549" t="s">
        <v>164</v>
      </c>
      <c r="D72" s="480">
        <v>0</v>
      </c>
      <c r="E72" s="506">
        <f t="shared" ref="E72" si="34">B72*D72</f>
        <v>0</v>
      </c>
      <c r="F72" s="480">
        <v>40</v>
      </c>
      <c r="G72" s="498">
        <v>1</v>
      </c>
      <c r="H72" s="501">
        <f t="shared" ref="H72:H79" si="35">E72*G72</f>
        <v>0</v>
      </c>
      <c r="I72" s="499">
        <v>0.1</v>
      </c>
      <c r="J72" s="500">
        <f t="shared" ref="J72" si="36">(I72*(1+I72)^F72)/((1+I72)^F72-1)</f>
        <v>0.10225941441436948</v>
      </c>
      <c r="K72" s="501">
        <f t="shared" ref="K72" si="37">((E72-(G72*E72))*J72)+(I72*(G72*E72))</f>
        <v>0</v>
      </c>
      <c r="L72" s="501">
        <f t="shared" ref="L72:L79" si="38">((E72-(G72*E72))/F72)</f>
        <v>0</v>
      </c>
      <c r="M72" s="501">
        <f t="shared" ref="M72:M79" si="39">K72-L72</f>
        <v>0</v>
      </c>
      <c r="N72" s="501">
        <f t="shared" ref="N72:N79" si="40">(E72+H72)/2</f>
        <v>0</v>
      </c>
      <c r="O72" s="504">
        <v>0</v>
      </c>
      <c r="P72" s="501">
        <f t="shared" ref="P72" si="41">N72*O72</f>
        <v>0</v>
      </c>
      <c r="Q72" s="510">
        <v>0</v>
      </c>
      <c r="R72" s="511">
        <v>46</v>
      </c>
      <c r="S72" s="512">
        <f t="shared" ref="S72" si="42">Q72*(R72/1000)</f>
        <v>0</v>
      </c>
      <c r="T72" s="501">
        <f t="shared" ref="T72" si="43">N72*S72</f>
        <v>0</v>
      </c>
      <c r="U72" s="15"/>
      <c r="V72" s="480"/>
      <c r="W72" s="15"/>
      <c r="X72" s="15"/>
      <c r="Y72" s="15"/>
      <c r="Z72" s="15"/>
      <c r="AA72" s="15"/>
    </row>
    <row r="73" spans="1:27" ht="12.95" customHeight="1" x14ac:dyDescent="0.25">
      <c r="A73" s="470" t="s">
        <v>328</v>
      </c>
      <c r="B73" s="486">
        <v>13200</v>
      </c>
      <c r="C73" s="549" t="s">
        <v>164</v>
      </c>
      <c r="D73" s="480">
        <v>0</v>
      </c>
      <c r="E73" s="506">
        <f t="shared" ref="E73" si="44">B73*D73</f>
        <v>0</v>
      </c>
      <c r="F73" s="480">
        <v>15</v>
      </c>
      <c r="G73" s="498">
        <v>0</v>
      </c>
      <c r="H73" s="501">
        <f t="shared" si="35"/>
        <v>0</v>
      </c>
      <c r="I73" s="499">
        <v>0.1</v>
      </c>
      <c r="J73" s="500">
        <f t="shared" ref="J73" si="45">(I73*(1+I73)^F73)/((1+I73)^F73-1)</f>
        <v>0.13147377688737219</v>
      </c>
      <c r="K73" s="501">
        <f t="shared" ref="K73" si="46">((E73-(G73*E73))*J73)+(I73*(G73*E73))</f>
        <v>0</v>
      </c>
      <c r="L73" s="501">
        <f t="shared" si="38"/>
        <v>0</v>
      </c>
      <c r="M73" s="501">
        <f t="shared" si="39"/>
        <v>0</v>
      </c>
      <c r="N73" s="501">
        <f t="shared" si="40"/>
        <v>0</v>
      </c>
      <c r="O73" s="504">
        <v>0</v>
      </c>
      <c r="P73" s="501">
        <f t="shared" ref="P73" si="47">N73*O73</f>
        <v>0</v>
      </c>
      <c r="Q73" s="510">
        <v>0</v>
      </c>
      <c r="R73" s="511">
        <v>46</v>
      </c>
      <c r="S73" s="512">
        <f t="shared" ref="S73" si="48">Q73*(R73/1000)</f>
        <v>0</v>
      </c>
      <c r="T73" s="501">
        <f t="shared" ref="T73" si="49">N73*S73</f>
        <v>0</v>
      </c>
      <c r="U73" s="15"/>
      <c r="V73" s="480"/>
      <c r="W73" s="15"/>
      <c r="X73" s="15"/>
      <c r="Y73" s="15"/>
      <c r="Z73" s="15"/>
      <c r="AA73" s="15"/>
    </row>
    <row r="74" spans="1:27" ht="12.95" customHeight="1" x14ac:dyDescent="0.25">
      <c r="A74" s="470" t="s">
        <v>276</v>
      </c>
      <c r="B74" s="486">
        <v>24420</v>
      </c>
      <c r="C74" s="549" t="s">
        <v>164</v>
      </c>
      <c r="D74" s="480">
        <v>0</v>
      </c>
      <c r="E74" s="506">
        <f t="shared" ref="E74:E78" si="50">B74*D74</f>
        <v>0</v>
      </c>
      <c r="F74" s="480">
        <v>15</v>
      </c>
      <c r="G74" s="498">
        <v>0</v>
      </c>
      <c r="H74" s="501">
        <f t="shared" si="35"/>
        <v>0</v>
      </c>
      <c r="I74" s="499">
        <v>0.1</v>
      </c>
      <c r="J74" s="500">
        <f t="shared" ref="J74:J78" si="51">(I74*(1+I74)^F74)/((1+I74)^F74-1)</f>
        <v>0.13147377688737219</v>
      </c>
      <c r="K74" s="501">
        <f t="shared" ref="K74:K78" si="52">((E74-(G74*E74))*J74)+(I74*(G74*E74))</f>
        <v>0</v>
      </c>
      <c r="L74" s="501">
        <f t="shared" si="38"/>
        <v>0</v>
      </c>
      <c r="M74" s="501">
        <f t="shared" si="39"/>
        <v>0</v>
      </c>
      <c r="N74" s="501">
        <f t="shared" si="40"/>
        <v>0</v>
      </c>
      <c r="O74" s="504">
        <v>0</v>
      </c>
      <c r="P74" s="501">
        <f t="shared" ref="P74:P78" si="53">N74*O74</f>
        <v>0</v>
      </c>
      <c r="Q74" s="510">
        <v>0</v>
      </c>
      <c r="R74" s="511">
        <v>46</v>
      </c>
      <c r="S74" s="512">
        <f t="shared" ref="S74:S78" si="54">Q74*(R74/1000)</f>
        <v>0</v>
      </c>
      <c r="T74" s="501">
        <f t="shared" ref="T74:T78" si="55">N74*S74</f>
        <v>0</v>
      </c>
      <c r="U74" s="15"/>
      <c r="V74" s="480"/>
      <c r="W74" s="15"/>
      <c r="X74" s="15"/>
      <c r="Y74" s="15"/>
      <c r="Z74" s="15"/>
      <c r="AA74" s="15"/>
    </row>
    <row r="75" spans="1:27" ht="12.95" customHeight="1" x14ac:dyDescent="0.25">
      <c r="A75" s="470" t="s">
        <v>329</v>
      </c>
      <c r="B75" s="486">
        <v>12155</v>
      </c>
      <c r="C75" s="549" t="s">
        <v>164</v>
      </c>
      <c r="D75" s="480">
        <v>0</v>
      </c>
      <c r="E75" s="506">
        <f t="shared" ref="E75" si="56">B75*D75</f>
        <v>0</v>
      </c>
      <c r="F75" s="480">
        <v>15</v>
      </c>
      <c r="G75" s="498">
        <v>0</v>
      </c>
      <c r="H75" s="501">
        <f t="shared" si="35"/>
        <v>0</v>
      </c>
      <c r="I75" s="499">
        <v>0.1</v>
      </c>
      <c r="J75" s="500">
        <f t="shared" ref="J75" si="57">(I75*(1+I75)^F75)/((1+I75)^F75-1)</f>
        <v>0.13147377688737219</v>
      </c>
      <c r="K75" s="501">
        <f t="shared" ref="K75" si="58">((E75-(G75*E75))*J75)+(I75*(G75*E75))</f>
        <v>0</v>
      </c>
      <c r="L75" s="501">
        <f t="shared" si="38"/>
        <v>0</v>
      </c>
      <c r="M75" s="501">
        <f t="shared" si="39"/>
        <v>0</v>
      </c>
      <c r="N75" s="501">
        <f t="shared" si="40"/>
        <v>0</v>
      </c>
      <c r="O75" s="504">
        <v>0</v>
      </c>
      <c r="P75" s="501">
        <f t="shared" ref="P75" si="59">N75*O75</f>
        <v>0</v>
      </c>
      <c r="Q75" s="510">
        <v>0.2</v>
      </c>
      <c r="R75" s="511">
        <v>46</v>
      </c>
      <c r="S75" s="512">
        <f t="shared" ref="S75" si="60">Q75*(R75/1000)</f>
        <v>9.1999999999999998E-3</v>
      </c>
      <c r="T75" s="501">
        <f t="shared" ref="T75" si="61">N75*S75</f>
        <v>0</v>
      </c>
      <c r="U75" s="15"/>
      <c r="V75" s="480"/>
      <c r="W75" s="15"/>
      <c r="X75" s="15"/>
      <c r="Y75" s="15"/>
      <c r="Z75" s="15"/>
      <c r="AA75" s="15"/>
    </row>
    <row r="76" spans="1:27" ht="12.95" customHeight="1" x14ac:dyDescent="0.25">
      <c r="A76" s="470" t="s">
        <v>330</v>
      </c>
      <c r="B76" s="486">
        <v>15344</v>
      </c>
      <c r="C76" s="549" t="s">
        <v>164</v>
      </c>
      <c r="D76" s="480">
        <v>0</v>
      </c>
      <c r="E76" s="506">
        <f t="shared" si="50"/>
        <v>0</v>
      </c>
      <c r="F76" s="480">
        <v>15</v>
      </c>
      <c r="G76" s="498">
        <v>0</v>
      </c>
      <c r="H76" s="501">
        <f t="shared" si="35"/>
        <v>0</v>
      </c>
      <c r="I76" s="499">
        <v>0.1</v>
      </c>
      <c r="J76" s="500">
        <f t="shared" si="51"/>
        <v>0.13147377688737219</v>
      </c>
      <c r="K76" s="501">
        <f t="shared" si="52"/>
        <v>0</v>
      </c>
      <c r="L76" s="501">
        <f t="shared" si="38"/>
        <v>0</v>
      </c>
      <c r="M76" s="501">
        <f t="shared" si="39"/>
        <v>0</v>
      </c>
      <c r="N76" s="501">
        <f t="shared" si="40"/>
        <v>0</v>
      </c>
      <c r="O76" s="504">
        <v>0.01</v>
      </c>
      <c r="P76" s="501">
        <f t="shared" si="53"/>
        <v>0</v>
      </c>
      <c r="Q76" s="510">
        <v>0.2</v>
      </c>
      <c r="R76" s="511">
        <v>46</v>
      </c>
      <c r="S76" s="512">
        <f t="shared" si="54"/>
        <v>9.1999999999999998E-3</v>
      </c>
      <c r="T76" s="501">
        <f t="shared" si="55"/>
        <v>0</v>
      </c>
      <c r="U76" s="15"/>
      <c r="V76" s="480"/>
      <c r="W76" s="15"/>
      <c r="X76" s="15"/>
      <c r="Y76" s="15"/>
      <c r="Z76" s="15"/>
      <c r="AA76" s="15"/>
    </row>
    <row r="77" spans="1:27" ht="12.95" customHeight="1" x14ac:dyDescent="0.25">
      <c r="A77" s="470" t="s">
        <v>331</v>
      </c>
      <c r="B77" s="486">
        <v>5750</v>
      </c>
      <c r="C77" s="549" t="s">
        <v>164</v>
      </c>
      <c r="D77" s="480">
        <v>0</v>
      </c>
      <c r="E77" s="506">
        <f t="shared" si="50"/>
        <v>0</v>
      </c>
      <c r="F77" s="480">
        <v>40</v>
      </c>
      <c r="G77" s="498">
        <v>0</v>
      </c>
      <c r="H77" s="501">
        <f t="shared" si="35"/>
        <v>0</v>
      </c>
      <c r="I77" s="499">
        <v>0.1</v>
      </c>
      <c r="J77" s="500">
        <f t="shared" si="51"/>
        <v>0.10225941441436948</v>
      </c>
      <c r="K77" s="501">
        <f t="shared" si="52"/>
        <v>0</v>
      </c>
      <c r="L77" s="501">
        <f t="shared" si="38"/>
        <v>0</v>
      </c>
      <c r="M77" s="501">
        <f t="shared" si="39"/>
        <v>0</v>
      </c>
      <c r="N77" s="501">
        <f t="shared" si="40"/>
        <v>0</v>
      </c>
      <c r="O77" s="504">
        <v>0.01</v>
      </c>
      <c r="P77" s="501">
        <f t="shared" si="53"/>
        <v>0</v>
      </c>
      <c r="Q77" s="510">
        <v>0.2</v>
      </c>
      <c r="R77" s="511">
        <v>46</v>
      </c>
      <c r="S77" s="512">
        <f t="shared" si="54"/>
        <v>9.1999999999999998E-3</v>
      </c>
      <c r="T77" s="501">
        <f t="shared" si="55"/>
        <v>0</v>
      </c>
      <c r="U77" s="15"/>
      <c r="V77" s="480"/>
      <c r="W77" s="15"/>
      <c r="X77" s="15"/>
      <c r="Y77" s="15"/>
      <c r="Z77" s="15"/>
      <c r="AA77" s="15"/>
    </row>
    <row r="78" spans="1:27" ht="12.95" customHeight="1" x14ac:dyDescent="0.25">
      <c r="A78" s="470" t="s">
        <v>332</v>
      </c>
      <c r="B78" s="486">
        <v>50.45</v>
      </c>
      <c r="C78" s="549" t="s">
        <v>164</v>
      </c>
      <c r="D78" s="480">
        <v>0</v>
      </c>
      <c r="E78" s="506">
        <f t="shared" si="50"/>
        <v>0</v>
      </c>
      <c r="F78" s="480">
        <v>20</v>
      </c>
      <c r="G78" s="498">
        <v>0</v>
      </c>
      <c r="H78" s="501">
        <f t="shared" si="35"/>
        <v>0</v>
      </c>
      <c r="I78" s="499">
        <v>0.1</v>
      </c>
      <c r="J78" s="500">
        <f t="shared" si="51"/>
        <v>0.11745962477254576</v>
      </c>
      <c r="K78" s="501">
        <f t="shared" si="52"/>
        <v>0</v>
      </c>
      <c r="L78" s="501">
        <f t="shared" si="38"/>
        <v>0</v>
      </c>
      <c r="M78" s="501">
        <f t="shared" si="39"/>
        <v>0</v>
      </c>
      <c r="N78" s="501">
        <f t="shared" si="40"/>
        <v>0</v>
      </c>
      <c r="O78" s="504">
        <v>0.01</v>
      </c>
      <c r="P78" s="501">
        <f t="shared" si="53"/>
        <v>0</v>
      </c>
      <c r="Q78" s="510">
        <v>0</v>
      </c>
      <c r="R78" s="511">
        <v>46</v>
      </c>
      <c r="S78" s="512">
        <f t="shared" si="54"/>
        <v>0</v>
      </c>
      <c r="T78" s="501">
        <f t="shared" si="55"/>
        <v>0</v>
      </c>
      <c r="U78" s="15"/>
      <c r="V78" s="480"/>
      <c r="W78" s="15"/>
      <c r="X78" s="15"/>
      <c r="Y78" s="15"/>
      <c r="Z78" s="15"/>
      <c r="AA78" s="15"/>
    </row>
    <row r="79" spans="1:27" ht="12.95" customHeight="1" x14ac:dyDescent="0.25">
      <c r="A79" s="470" t="s">
        <v>333</v>
      </c>
      <c r="B79" s="486">
        <v>6100</v>
      </c>
      <c r="C79" s="549" t="s">
        <v>164</v>
      </c>
      <c r="D79" s="480">
        <v>0</v>
      </c>
      <c r="E79" s="506">
        <f t="shared" ref="E79" si="62">B79*D79</f>
        <v>0</v>
      </c>
      <c r="F79" s="480">
        <v>15</v>
      </c>
      <c r="G79" s="498">
        <v>0</v>
      </c>
      <c r="H79" s="501">
        <f t="shared" si="35"/>
        <v>0</v>
      </c>
      <c r="I79" s="499">
        <v>0.1</v>
      </c>
      <c r="J79" s="500">
        <f t="shared" ref="J79" si="63">(I79*(1+I79)^F79)/((1+I79)^F79-1)</f>
        <v>0.13147377688737219</v>
      </c>
      <c r="K79" s="501">
        <f t="shared" ref="K79" si="64">((E79-(G79*E79))*J79)+(I79*(G79*E79))</f>
        <v>0</v>
      </c>
      <c r="L79" s="501">
        <f t="shared" si="38"/>
        <v>0</v>
      </c>
      <c r="M79" s="501">
        <f t="shared" si="39"/>
        <v>0</v>
      </c>
      <c r="N79" s="501">
        <f t="shared" si="40"/>
        <v>0</v>
      </c>
      <c r="O79" s="504">
        <v>0.01</v>
      </c>
      <c r="P79" s="501">
        <f t="shared" ref="P79" si="65">N79*O79</f>
        <v>0</v>
      </c>
      <c r="Q79" s="510">
        <v>0.2</v>
      </c>
      <c r="R79" s="511">
        <v>46</v>
      </c>
      <c r="S79" s="512">
        <f t="shared" ref="S79" si="66">Q79*(R79/1000)</f>
        <v>9.1999999999999998E-3</v>
      </c>
      <c r="T79" s="501">
        <f t="shared" ref="T79" si="67">N79*S79</f>
        <v>0</v>
      </c>
      <c r="U79" s="15"/>
      <c r="V79" s="480"/>
      <c r="W79" s="15"/>
      <c r="X79" s="15"/>
      <c r="Y79" s="15"/>
      <c r="Z79" s="15"/>
      <c r="AA79" s="15"/>
    </row>
    <row r="80" spans="1:27" ht="26.1" customHeight="1" x14ac:dyDescent="0.25">
      <c r="A80" s="491" t="s">
        <v>260</v>
      </c>
      <c r="B80" s="486"/>
      <c r="C80" s="548"/>
      <c r="D80" s="480"/>
      <c r="E80" s="506"/>
      <c r="F80" s="480"/>
      <c r="G80" s="498"/>
      <c r="H80" s="501"/>
      <c r="I80" s="499"/>
      <c r="J80" s="500"/>
      <c r="K80" s="501"/>
      <c r="L80" s="501"/>
      <c r="M80" s="501"/>
      <c r="N80" s="501"/>
      <c r="O80" s="504"/>
      <c r="P80" s="501"/>
      <c r="Q80" s="15"/>
      <c r="R80" s="15"/>
      <c r="S80" s="512"/>
      <c r="T80" s="501"/>
      <c r="U80" s="505" t="s">
        <v>262</v>
      </c>
      <c r="V80" s="480"/>
      <c r="W80" s="505" t="s">
        <v>263</v>
      </c>
      <c r="X80" s="15"/>
      <c r="Y80" s="15"/>
      <c r="Z80" s="15"/>
      <c r="AA80" s="15"/>
    </row>
    <row r="81" spans="1:27" ht="12.95" customHeight="1" x14ac:dyDescent="0.25">
      <c r="A81" s="470" t="s">
        <v>289</v>
      </c>
      <c r="B81" s="486">
        <v>10000</v>
      </c>
      <c r="C81" s="549" t="s">
        <v>164</v>
      </c>
      <c r="D81" s="480">
        <v>0</v>
      </c>
      <c r="E81" s="506">
        <f t="shared" ref="E81" si="68">B81*D81</f>
        <v>0</v>
      </c>
      <c r="F81" s="480">
        <v>10</v>
      </c>
      <c r="G81" s="498">
        <v>0.35</v>
      </c>
      <c r="H81" s="501">
        <f t="shared" ref="H81:H87" si="69">E81*G81</f>
        <v>0</v>
      </c>
      <c r="I81" s="499">
        <v>0.1</v>
      </c>
      <c r="J81" s="500">
        <f t="shared" ref="J81" si="70">(I81*(1+I81)^F81)/((1+I81)^F81-1)</f>
        <v>0.16274539488251155</v>
      </c>
      <c r="K81" s="501">
        <f t="shared" ref="K81" si="71">((E81-(G81*E81))*J81)+(I81*(G81*E81))</f>
        <v>0</v>
      </c>
      <c r="L81" s="501">
        <f t="shared" ref="L81:L87" si="72">((E81-(G81*E81))/F81)</f>
        <v>0</v>
      </c>
      <c r="M81" s="501">
        <f t="shared" ref="M81:M87" si="73">K81-L81</f>
        <v>0</v>
      </c>
      <c r="N81" s="501">
        <f t="shared" ref="N81:N87" si="74">(E81+H81)/2</f>
        <v>0</v>
      </c>
      <c r="O81" s="504">
        <v>0.01</v>
      </c>
      <c r="P81" s="501">
        <f t="shared" ref="P81" si="75">N81*O81</f>
        <v>0</v>
      </c>
      <c r="Q81" s="510">
        <v>0.2</v>
      </c>
      <c r="R81" s="511">
        <v>46</v>
      </c>
      <c r="S81" s="512">
        <f t="shared" ref="S81:S87" si="76">Q81*(R81/1000)</f>
        <v>9.1999999999999998E-3</v>
      </c>
      <c r="T81" s="501">
        <f t="shared" ref="T81:T85" si="77">N81*S81</f>
        <v>0</v>
      </c>
      <c r="U81" s="506"/>
      <c r="V81" s="490"/>
      <c r="W81" s="506"/>
      <c r="X81" s="15"/>
      <c r="Y81" s="15"/>
      <c r="Z81" s="15"/>
      <c r="AA81" s="15"/>
    </row>
    <row r="82" spans="1:27" ht="12.95" customHeight="1" x14ac:dyDescent="0.25">
      <c r="A82" s="478" t="s">
        <v>259</v>
      </c>
      <c r="B82" s="486">
        <v>35000</v>
      </c>
      <c r="C82" s="549" t="s">
        <v>164</v>
      </c>
      <c r="D82" s="480">
        <v>0</v>
      </c>
      <c r="E82" s="506">
        <f t="shared" ref="E82:E86" si="78">B82*D82</f>
        <v>0</v>
      </c>
      <c r="F82" s="480">
        <v>5</v>
      </c>
      <c r="G82" s="498">
        <v>0.35</v>
      </c>
      <c r="H82" s="501">
        <f t="shared" si="69"/>
        <v>0</v>
      </c>
      <c r="I82" s="499">
        <v>0.1</v>
      </c>
      <c r="J82" s="500">
        <f t="shared" ref="J82:J86" si="79">(I82*(1+I82)^F82)/((1+I82)^F82-1)</f>
        <v>0.26379748079474524</v>
      </c>
      <c r="K82" s="501">
        <f t="shared" ref="K82:K86" si="80">((E82-(G82*E82))*J82)+(I82*(G82*E82))</f>
        <v>0</v>
      </c>
      <c r="L82" s="501">
        <f t="shared" si="72"/>
        <v>0</v>
      </c>
      <c r="M82" s="501">
        <f t="shared" si="73"/>
        <v>0</v>
      </c>
      <c r="N82" s="501">
        <f t="shared" si="74"/>
        <v>0</v>
      </c>
      <c r="O82" s="504">
        <v>0.01</v>
      </c>
      <c r="P82" s="501">
        <f t="shared" ref="P82:P86" si="81">N82*O82</f>
        <v>0</v>
      </c>
      <c r="Q82" s="510">
        <v>0.2</v>
      </c>
      <c r="R82" s="511">
        <v>46</v>
      </c>
      <c r="S82" s="512">
        <f t="shared" si="76"/>
        <v>9.1999999999999998E-3</v>
      </c>
      <c r="T82" s="501">
        <f t="shared" si="77"/>
        <v>0</v>
      </c>
      <c r="U82" s="486">
        <v>0</v>
      </c>
      <c r="V82" s="509">
        <v>2.25</v>
      </c>
      <c r="W82" s="506">
        <f t="shared" ref="W82:W85" si="82">U82*V82</f>
        <v>0</v>
      </c>
      <c r="X82" s="486">
        <v>1000</v>
      </c>
      <c r="Y82" s="15"/>
      <c r="Z82" s="15"/>
      <c r="AA82" s="15"/>
    </row>
    <row r="83" spans="1:27" ht="12.95" customHeight="1" x14ac:dyDescent="0.25">
      <c r="A83" s="478" t="s">
        <v>259</v>
      </c>
      <c r="B83" s="486">
        <v>20000</v>
      </c>
      <c r="C83" s="549" t="s">
        <v>164</v>
      </c>
      <c r="D83" s="480">
        <v>0</v>
      </c>
      <c r="E83" s="506">
        <f t="shared" si="78"/>
        <v>0</v>
      </c>
      <c r="F83" s="480">
        <v>10</v>
      </c>
      <c r="G83" s="498">
        <v>0.1</v>
      </c>
      <c r="H83" s="501">
        <f t="shared" si="69"/>
        <v>0</v>
      </c>
      <c r="I83" s="499">
        <v>0.1</v>
      </c>
      <c r="J83" s="500">
        <f t="shared" si="79"/>
        <v>0.16274539488251155</v>
      </c>
      <c r="K83" s="501">
        <f t="shared" si="80"/>
        <v>0</v>
      </c>
      <c r="L83" s="501">
        <f t="shared" si="72"/>
        <v>0</v>
      </c>
      <c r="M83" s="501">
        <f t="shared" si="73"/>
        <v>0</v>
      </c>
      <c r="N83" s="501">
        <f t="shared" si="74"/>
        <v>0</v>
      </c>
      <c r="O83" s="504">
        <v>0.01</v>
      </c>
      <c r="P83" s="501">
        <f t="shared" si="81"/>
        <v>0</v>
      </c>
      <c r="Q83" s="510">
        <v>0.2</v>
      </c>
      <c r="R83" s="511">
        <v>46</v>
      </c>
      <c r="S83" s="512">
        <f t="shared" si="76"/>
        <v>9.1999999999999998E-3</v>
      </c>
      <c r="T83" s="501">
        <f t="shared" si="77"/>
        <v>0</v>
      </c>
      <c r="U83" s="486">
        <v>0</v>
      </c>
      <c r="V83" s="509">
        <v>2.25</v>
      </c>
      <c r="W83" s="506">
        <f t="shared" si="82"/>
        <v>0</v>
      </c>
      <c r="X83" s="486">
        <v>500</v>
      </c>
      <c r="Y83" s="15"/>
      <c r="Z83" s="15"/>
      <c r="AA83" s="15"/>
    </row>
    <row r="84" spans="1:27" ht="12.95" customHeight="1" x14ac:dyDescent="0.25">
      <c r="A84" s="478" t="s">
        <v>261</v>
      </c>
      <c r="B84" s="486">
        <v>50000</v>
      </c>
      <c r="C84" s="549" t="s">
        <v>164</v>
      </c>
      <c r="D84" s="480">
        <v>0</v>
      </c>
      <c r="E84" s="506">
        <f t="shared" ref="E84" si="83">B84*D84</f>
        <v>0</v>
      </c>
      <c r="F84" s="480">
        <v>10</v>
      </c>
      <c r="G84" s="498">
        <v>0.35</v>
      </c>
      <c r="H84" s="501">
        <f t="shared" si="69"/>
        <v>0</v>
      </c>
      <c r="I84" s="499">
        <v>0.1</v>
      </c>
      <c r="J84" s="500">
        <f t="shared" ref="J84" si="84">(I84*(1+I84)^F84)/((1+I84)^F84-1)</f>
        <v>0.16274539488251155</v>
      </c>
      <c r="K84" s="501">
        <f t="shared" ref="K84" si="85">((E84-(G84*E84))*J84)+(I84*(G84*E84))</f>
        <v>0</v>
      </c>
      <c r="L84" s="501">
        <f t="shared" si="72"/>
        <v>0</v>
      </c>
      <c r="M84" s="501">
        <f t="shared" si="73"/>
        <v>0</v>
      </c>
      <c r="N84" s="501">
        <f t="shared" si="74"/>
        <v>0</v>
      </c>
      <c r="O84" s="504">
        <v>0.01</v>
      </c>
      <c r="P84" s="501">
        <f t="shared" ref="P84" si="86">N84*O84</f>
        <v>0</v>
      </c>
      <c r="Q84" s="510">
        <v>0.2</v>
      </c>
      <c r="R84" s="511">
        <v>46</v>
      </c>
      <c r="S84" s="512">
        <f t="shared" si="76"/>
        <v>9.1999999999999998E-3</v>
      </c>
      <c r="T84" s="501">
        <f t="shared" si="77"/>
        <v>0</v>
      </c>
      <c r="U84" s="486">
        <v>0</v>
      </c>
      <c r="V84" s="509">
        <v>2.48</v>
      </c>
      <c r="W84" s="506">
        <f t="shared" si="82"/>
        <v>0</v>
      </c>
      <c r="X84" s="15"/>
      <c r="Y84" s="15"/>
      <c r="Z84" s="15"/>
      <c r="AA84" s="15"/>
    </row>
    <row r="85" spans="1:27" ht="12.95" customHeight="1" x14ac:dyDescent="0.25">
      <c r="A85" s="478" t="s">
        <v>150</v>
      </c>
      <c r="B85" s="486">
        <v>10000</v>
      </c>
      <c r="C85" s="549" t="s">
        <v>164</v>
      </c>
      <c r="D85" s="480">
        <v>0</v>
      </c>
      <c r="E85" s="506">
        <f t="shared" si="78"/>
        <v>0</v>
      </c>
      <c r="F85" s="480">
        <v>10</v>
      </c>
      <c r="G85" s="498">
        <v>0.35</v>
      </c>
      <c r="H85" s="501">
        <f t="shared" si="69"/>
        <v>0</v>
      </c>
      <c r="I85" s="499">
        <v>0.1</v>
      </c>
      <c r="J85" s="500">
        <f t="shared" si="79"/>
        <v>0.16274539488251155</v>
      </c>
      <c r="K85" s="501">
        <f t="shared" si="80"/>
        <v>0</v>
      </c>
      <c r="L85" s="501">
        <f t="shared" si="72"/>
        <v>0</v>
      </c>
      <c r="M85" s="501">
        <f t="shared" si="73"/>
        <v>0</v>
      </c>
      <c r="N85" s="501">
        <f t="shared" si="74"/>
        <v>0</v>
      </c>
      <c r="O85" s="504">
        <v>0.01</v>
      </c>
      <c r="P85" s="501">
        <f t="shared" si="81"/>
        <v>0</v>
      </c>
      <c r="Q85" s="510">
        <v>0.2</v>
      </c>
      <c r="R85" s="511">
        <v>46</v>
      </c>
      <c r="S85" s="512">
        <f t="shared" si="76"/>
        <v>9.1999999999999998E-3</v>
      </c>
      <c r="T85" s="501">
        <f t="shared" si="77"/>
        <v>0</v>
      </c>
      <c r="U85" s="486">
        <v>0</v>
      </c>
      <c r="V85" s="509">
        <v>0</v>
      </c>
      <c r="W85" s="506">
        <f t="shared" si="82"/>
        <v>0</v>
      </c>
      <c r="X85" s="15"/>
      <c r="Y85" s="15"/>
      <c r="Z85" s="15"/>
      <c r="AA85" s="15"/>
    </row>
    <row r="86" spans="1:27" ht="12.95" customHeight="1" x14ac:dyDescent="0.25">
      <c r="A86" s="470" t="s">
        <v>150</v>
      </c>
      <c r="B86" s="486">
        <v>10000</v>
      </c>
      <c r="C86" s="549" t="s">
        <v>164</v>
      </c>
      <c r="D86" s="480">
        <v>0</v>
      </c>
      <c r="E86" s="506">
        <f t="shared" si="78"/>
        <v>0</v>
      </c>
      <c r="F86" s="480">
        <v>10</v>
      </c>
      <c r="G86" s="498">
        <v>0.35</v>
      </c>
      <c r="H86" s="501">
        <f t="shared" si="69"/>
        <v>0</v>
      </c>
      <c r="I86" s="499">
        <v>0.1</v>
      </c>
      <c r="J86" s="500">
        <f t="shared" si="79"/>
        <v>0.16274539488251155</v>
      </c>
      <c r="K86" s="501">
        <f t="shared" si="80"/>
        <v>0</v>
      </c>
      <c r="L86" s="501">
        <f t="shared" si="72"/>
        <v>0</v>
      </c>
      <c r="M86" s="501">
        <f t="shared" si="73"/>
        <v>0</v>
      </c>
      <c r="N86" s="501">
        <f t="shared" si="74"/>
        <v>0</v>
      </c>
      <c r="O86" s="504">
        <v>0.01</v>
      </c>
      <c r="P86" s="501">
        <f t="shared" si="81"/>
        <v>0</v>
      </c>
      <c r="Q86" s="510">
        <v>0.2</v>
      </c>
      <c r="R86" s="511">
        <v>46</v>
      </c>
      <c r="S86" s="512">
        <f t="shared" si="76"/>
        <v>9.1999999999999998E-3</v>
      </c>
      <c r="T86" s="501">
        <f t="shared" ref="T86" si="87">N86*S86</f>
        <v>0</v>
      </c>
      <c r="U86" s="486">
        <v>0</v>
      </c>
      <c r="V86" s="509">
        <v>0</v>
      </c>
      <c r="W86" s="506">
        <f t="shared" ref="W86" si="88">U86*V86</f>
        <v>0</v>
      </c>
      <c r="X86" s="15"/>
      <c r="Y86" s="15"/>
      <c r="Z86" s="15"/>
      <c r="AA86" s="15"/>
    </row>
    <row r="87" spans="1:27" ht="16.5" customHeight="1" x14ac:dyDescent="0.25">
      <c r="A87" s="470" t="s">
        <v>278</v>
      </c>
      <c r="B87" s="486">
        <v>10000</v>
      </c>
      <c r="C87" s="549" t="s">
        <v>164</v>
      </c>
      <c r="D87" s="480">
        <v>0</v>
      </c>
      <c r="E87" s="506">
        <f t="shared" ref="E87" si="89">B87*D87</f>
        <v>0</v>
      </c>
      <c r="F87" s="480">
        <v>30</v>
      </c>
      <c r="G87" s="498">
        <v>0.1</v>
      </c>
      <c r="H87" s="501">
        <f t="shared" si="69"/>
        <v>0</v>
      </c>
      <c r="I87" s="499">
        <v>0.1</v>
      </c>
      <c r="J87" s="500">
        <f t="shared" ref="J87" si="90">(I87*(1+I87)^F87)/((1+I87)^F87-1)</f>
        <v>0.1060792482526339</v>
      </c>
      <c r="K87" s="501">
        <f t="shared" ref="K87" si="91">((E87-(G87*E87))*J87)+(I87*(G87*E87))</f>
        <v>0</v>
      </c>
      <c r="L87" s="501">
        <f t="shared" si="72"/>
        <v>0</v>
      </c>
      <c r="M87" s="501">
        <f t="shared" si="73"/>
        <v>0</v>
      </c>
      <c r="N87" s="501">
        <f t="shared" si="74"/>
        <v>0</v>
      </c>
      <c r="O87" s="504">
        <v>0.01</v>
      </c>
      <c r="P87" s="501">
        <f t="shared" ref="P87" si="92">N87*O87</f>
        <v>0</v>
      </c>
      <c r="Q87" s="510">
        <v>0.2</v>
      </c>
      <c r="R87" s="511">
        <v>46</v>
      </c>
      <c r="S87" s="512">
        <f t="shared" si="76"/>
        <v>9.1999999999999998E-3</v>
      </c>
      <c r="T87" s="501">
        <f t="shared" ref="T87" si="93">N87*S87</f>
        <v>0</v>
      </c>
      <c r="U87" s="506"/>
      <c r="V87" s="490"/>
      <c r="W87" s="506"/>
      <c r="X87" s="15"/>
      <c r="Y87" s="15"/>
      <c r="Z87" s="15"/>
      <c r="AA87" s="15"/>
    </row>
    <row r="88" spans="1:27" ht="12.95" customHeight="1" x14ac:dyDescent="0.25">
      <c r="A88" s="515" t="s">
        <v>39</v>
      </c>
      <c r="B88" s="507"/>
      <c r="C88" s="550"/>
      <c r="D88" s="514"/>
      <c r="E88" s="507"/>
      <c r="F88" s="514"/>
      <c r="G88" s="516"/>
      <c r="H88" s="503"/>
      <c r="I88" s="517"/>
      <c r="J88" s="502"/>
      <c r="K88" s="518">
        <f>SUM(K2:K87)</f>
        <v>0</v>
      </c>
      <c r="L88" s="518">
        <f>SUM(L2:L87)</f>
        <v>0</v>
      </c>
      <c r="M88" s="518">
        <f>SUM(M2:M87)</f>
        <v>0</v>
      </c>
      <c r="N88" s="518">
        <f>SUM(N2:N87)</f>
        <v>0</v>
      </c>
      <c r="O88" s="513"/>
      <c r="P88" s="518">
        <f>SUM(P2:P87)</f>
        <v>0</v>
      </c>
      <c r="Q88" s="519"/>
      <c r="R88" s="520"/>
      <c r="S88" s="513"/>
      <c r="T88" s="518">
        <f>SUM(T2:T87)</f>
        <v>0</v>
      </c>
      <c r="U88" s="507"/>
      <c r="V88" s="514"/>
      <c r="W88" s="518">
        <f>SUM(W81:W86)</f>
        <v>0</v>
      </c>
      <c r="X88" s="15"/>
      <c r="Y88" s="15"/>
      <c r="Z88" s="15"/>
      <c r="AA88" s="15"/>
    </row>
    <row r="89" spans="1:27" ht="16.5" customHeight="1" x14ac:dyDescent="0.25">
      <c r="A89" s="494" t="s">
        <v>294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2.95" customHeight="1" x14ac:dyDescent="0.25">
      <c r="A90" s="466" t="s">
        <v>280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6.5" x14ac:dyDescent="0.25">
      <c r="A91" s="494" t="s">
        <v>277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71"/>
  <sheetViews>
    <sheetView workbookViewId="0">
      <selection activeCell="D12" sqref="D12"/>
    </sheetView>
  </sheetViews>
  <sheetFormatPr defaultRowHeight="15" x14ac:dyDescent="0.25"/>
  <cols>
    <col min="1" max="1" width="31.28515625" bestFit="1" customWidth="1"/>
    <col min="10" max="10" width="1.7109375" customWidth="1"/>
    <col min="11" max="11" width="12" bestFit="1" customWidth="1"/>
  </cols>
  <sheetData>
    <row r="1" spans="1:26" ht="12.95" customHeight="1" x14ac:dyDescent="0.25">
      <c r="A1" s="467"/>
      <c r="B1" s="468"/>
      <c r="C1" s="469" t="s">
        <v>238</v>
      </c>
      <c r="D1" s="469" t="s">
        <v>239</v>
      </c>
      <c r="E1" s="469" t="s">
        <v>240</v>
      </c>
      <c r="F1" s="469" t="s">
        <v>241</v>
      </c>
      <c r="G1" s="469" t="s">
        <v>242</v>
      </c>
      <c r="H1" s="469" t="s">
        <v>243</v>
      </c>
      <c r="I1" s="469" t="s">
        <v>39</v>
      </c>
      <c r="J1" s="482"/>
      <c r="K1" s="470"/>
      <c r="L1" s="471"/>
      <c r="M1" s="472" t="s">
        <v>238</v>
      </c>
      <c r="N1" s="472" t="s">
        <v>239</v>
      </c>
      <c r="O1" s="472" t="s">
        <v>240</v>
      </c>
      <c r="P1" s="472" t="s">
        <v>241</v>
      </c>
      <c r="Q1" s="472" t="s">
        <v>242</v>
      </c>
      <c r="R1" s="472" t="s">
        <v>243</v>
      </c>
      <c r="S1" s="473" t="s">
        <v>39</v>
      </c>
      <c r="T1" s="15"/>
      <c r="U1" s="15"/>
      <c r="V1" s="15"/>
      <c r="W1" s="15"/>
      <c r="X1" s="15"/>
      <c r="Y1" s="15"/>
      <c r="Z1" s="15"/>
    </row>
    <row r="2" spans="1:26" ht="12.95" customHeight="1" x14ac:dyDescent="0.25">
      <c r="A2" s="474" t="s">
        <v>193</v>
      </c>
      <c r="B2" s="475" t="s">
        <v>194</v>
      </c>
      <c r="C2" s="476" t="s">
        <v>236</v>
      </c>
      <c r="D2" s="476" t="s">
        <v>236</v>
      </c>
      <c r="E2" s="476" t="s">
        <v>236</v>
      </c>
      <c r="F2" s="476" t="s">
        <v>236</v>
      </c>
      <c r="G2" s="476" t="s">
        <v>236</v>
      </c>
      <c r="H2" s="476" t="s">
        <v>236</v>
      </c>
      <c r="I2" s="476" t="s">
        <v>236</v>
      </c>
      <c r="J2" s="482"/>
      <c r="K2" s="470"/>
      <c r="L2" s="475" t="s">
        <v>194</v>
      </c>
      <c r="M2" s="476" t="s">
        <v>236</v>
      </c>
      <c r="N2" s="476" t="s">
        <v>236</v>
      </c>
      <c r="O2" s="476" t="s">
        <v>236</v>
      </c>
      <c r="P2" s="476" t="s">
        <v>236</v>
      </c>
      <c r="Q2" s="476" t="s">
        <v>236</v>
      </c>
      <c r="R2" s="476" t="s">
        <v>236</v>
      </c>
      <c r="S2" s="477" t="s">
        <v>236</v>
      </c>
      <c r="T2" s="15"/>
      <c r="U2" s="15"/>
      <c r="V2" s="15"/>
      <c r="W2" s="15"/>
      <c r="X2" s="15"/>
      <c r="Y2" s="15"/>
      <c r="Z2" s="15"/>
    </row>
    <row r="3" spans="1:26" ht="12.95" customHeight="1" x14ac:dyDescent="0.25">
      <c r="A3" s="478" t="s">
        <v>195</v>
      </c>
      <c r="B3" s="479">
        <v>8</v>
      </c>
      <c r="C3" s="480" t="s">
        <v>237</v>
      </c>
      <c r="D3" s="480" t="s">
        <v>237</v>
      </c>
      <c r="E3" s="480"/>
      <c r="F3" s="480"/>
      <c r="G3" s="480"/>
      <c r="H3" s="480"/>
      <c r="I3" s="490" t="str">
        <f>IF(SUM(C3:H3)&gt;0,SUM(C3:H3)," ")</f>
        <v xml:space="preserve"> </v>
      </c>
      <c r="J3" s="482"/>
      <c r="K3" s="470" t="s">
        <v>284</v>
      </c>
      <c r="L3" s="483">
        <v>6</v>
      </c>
      <c r="M3" s="484">
        <v>498</v>
      </c>
      <c r="N3" s="484">
        <v>315</v>
      </c>
      <c r="O3" s="484"/>
      <c r="P3" s="484"/>
      <c r="Q3" s="484"/>
      <c r="R3" s="484"/>
      <c r="S3" s="485">
        <f t="shared" ref="S3:S6" si="0">IF(SUM(M3:R3)&gt;0,SUM(M3:R3)," ")</f>
        <v>813</v>
      </c>
      <c r="T3" s="15"/>
      <c r="U3" s="15"/>
      <c r="V3" s="15"/>
      <c r="W3" s="15"/>
      <c r="X3" s="15"/>
      <c r="Y3" s="15"/>
      <c r="Z3" s="15"/>
    </row>
    <row r="4" spans="1:26" ht="12.95" customHeight="1" x14ac:dyDescent="0.25">
      <c r="A4" s="478" t="s">
        <v>309</v>
      </c>
      <c r="B4" s="479">
        <v>8</v>
      </c>
      <c r="C4" s="480" t="s">
        <v>237</v>
      </c>
      <c r="D4" s="480" t="s">
        <v>237</v>
      </c>
      <c r="E4" s="480"/>
      <c r="F4" s="480"/>
      <c r="G4" s="480"/>
      <c r="H4" s="480"/>
      <c r="I4" s="490" t="str">
        <f t="shared" ref="I4:I43" si="1">IF(SUM(C4:H4)&gt;0,SUM(C4:H4)," ")</f>
        <v xml:space="preserve"> </v>
      </c>
      <c r="J4" s="482"/>
      <c r="K4" s="470" t="s">
        <v>326</v>
      </c>
      <c r="L4" s="479">
        <v>10</v>
      </c>
      <c r="M4" s="486">
        <v>122</v>
      </c>
      <c r="N4" s="486">
        <v>261</v>
      </c>
      <c r="O4" s="486"/>
      <c r="P4" s="486"/>
      <c r="Q4" s="486"/>
      <c r="R4" s="486"/>
      <c r="S4" s="481">
        <f t="shared" si="0"/>
        <v>383</v>
      </c>
      <c r="T4" s="15"/>
      <c r="U4" s="15"/>
      <c r="V4" s="15"/>
      <c r="W4" s="15"/>
      <c r="X4" s="15"/>
      <c r="Y4" s="15"/>
      <c r="Z4" s="15"/>
    </row>
    <row r="5" spans="1:26" ht="12.95" customHeight="1" x14ac:dyDescent="0.25">
      <c r="A5" s="478" t="s">
        <v>310</v>
      </c>
      <c r="B5" s="479">
        <v>8</v>
      </c>
      <c r="C5" s="480" t="s">
        <v>237</v>
      </c>
      <c r="D5" s="480" t="s">
        <v>237</v>
      </c>
      <c r="E5" s="480"/>
      <c r="F5" s="480"/>
      <c r="G5" s="480"/>
      <c r="H5" s="480"/>
      <c r="I5" s="490" t="str">
        <f t="shared" si="1"/>
        <v xml:space="preserve"> </v>
      </c>
      <c r="J5" s="482"/>
      <c r="K5" s="470" t="s">
        <v>327</v>
      </c>
      <c r="L5" s="479">
        <v>10</v>
      </c>
      <c r="M5" s="486"/>
      <c r="N5" s="486"/>
      <c r="O5" s="486"/>
      <c r="P5" s="486"/>
      <c r="Q5" s="486"/>
      <c r="R5" s="486"/>
      <c r="S5" s="481" t="str">
        <f t="shared" si="0"/>
        <v xml:space="preserve"> </v>
      </c>
      <c r="T5" s="15"/>
      <c r="U5" s="15"/>
      <c r="V5" s="15"/>
      <c r="W5" s="15"/>
      <c r="X5" s="15"/>
      <c r="Y5" s="15"/>
      <c r="Z5" s="15"/>
    </row>
    <row r="6" spans="1:26" ht="12.95" customHeight="1" x14ac:dyDescent="0.25">
      <c r="A6" s="478" t="s">
        <v>311</v>
      </c>
      <c r="B6" s="479">
        <v>8</v>
      </c>
      <c r="C6" s="480" t="s">
        <v>237</v>
      </c>
      <c r="D6" s="480" t="s">
        <v>237</v>
      </c>
      <c r="E6" s="480"/>
      <c r="F6" s="480"/>
      <c r="G6" s="480"/>
      <c r="H6" s="480"/>
      <c r="I6" s="490" t="str">
        <f t="shared" si="1"/>
        <v xml:space="preserve"> </v>
      </c>
      <c r="J6" s="482"/>
      <c r="K6" s="470" t="s">
        <v>285</v>
      </c>
      <c r="L6" s="487">
        <v>10</v>
      </c>
      <c r="M6" s="488"/>
      <c r="N6" s="488"/>
      <c r="O6" s="488"/>
      <c r="P6" s="488"/>
      <c r="Q6" s="488"/>
      <c r="R6" s="488"/>
      <c r="S6" s="489" t="str">
        <f t="shared" si="0"/>
        <v xml:space="preserve"> </v>
      </c>
      <c r="T6" s="15"/>
      <c r="U6" s="15"/>
      <c r="V6" s="15"/>
      <c r="W6" s="15"/>
      <c r="X6" s="15"/>
      <c r="Y6" s="15"/>
      <c r="Z6" s="15"/>
    </row>
    <row r="7" spans="1:26" ht="12.95" customHeight="1" x14ac:dyDescent="0.25">
      <c r="A7" s="478" t="s">
        <v>312</v>
      </c>
      <c r="B7" s="479">
        <v>8</v>
      </c>
      <c r="C7" s="480" t="s">
        <v>237</v>
      </c>
      <c r="D7" s="480" t="s">
        <v>237</v>
      </c>
      <c r="E7" s="480"/>
      <c r="F7" s="480"/>
      <c r="G7" s="480"/>
      <c r="H7" s="480"/>
      <c r="I7" s="490" t="str">
        <f t="shared" si="1"/>
        <v xml:space="preserve"> </v>
      </c>
      <c r="J7" s="482"/>
      <c r="K7" s="470"/>
      <c r="L7" s="494"/>
      <c r="M7" s="494"/>
      <c r="N7" s="494"/>
      <c r="O7" s="494"/>
      <c r="P7" s="494"/>
      <c r="Q7" s="494"/>
      <c r="R7" s="494"/>
      <c r="S7" s="494"/>
      <c r="T7" s="15"/>
      <c r="U7" s="15"/>
      <c r="V7" s="15"/>
      <c r="W7" s="15"/>
      <c r="X7" s="15"/>
      <c r="Y7" s="15"/>
      <c r="Z7" s="15"/>
    </row>
    <row r="8" spans="1:26" ht="12.95" customHeight="1" x14ac:dyDescent="0.25">
      <c r="A8" s="478" t="s">
        <v>196</v>
      </c>
      <c r="B8" s="479">
        <v>8</v>
      </c>
      <c r="C8" s="480">
        <v>77.205882352941174</v>
      </c>
      <c r="D8" s="480">
        <v>44.117647058823529</v>
      </c>
      <c r="E8" s="480"/>
      <c r="F8" s="480"/>
      <c r="G8" s="480"/>
      <c r="H8" s="480"/>
      <c r="I8" s="490">
        <f t="shared" si="1"/>
        <v>121.3235294117647</v>
      </c>
      <c r="J8" s="482"/>
      <c r="K8" s="470"/>
      <c r="L8" s="494"/>
      <c r="M8" s="494"/>
      <c r="N8" s="494"/>
      <c r="O8" s="494"/>
      <c r="P8" s="494"/>
      <c r="Q8" s="494"/>
      <c r="R8" s="494"/>
      <c r="S8" s="494"/>
      <c r="T8" s="15"/>
      <c r="U8" s="15"/>
      <c r="V8" s="15"/>
      <c r="W8" s="15"/>
      <c r="X8" s="15"/>
      <c r="Y8" s="15"/>
      <c r="Z8" s="15"/>
    </row>
    <row r="9" spans="1:26" ht="12.95" customHeight="1" x14ac:dyDescent="0.25">
      <c r="A9" s="478" t="s">
        <v>197</v>
      </c>
      <c r="B9" s="479">
        <v>8</v>
      </c>
      <c r="C9" s="480">
        <v>168.85964912280701</v>
      </c>
      <c r="D9" s="480" t="s">
        <v>237</v>
      </c>
      <c r="E9" s="480"/>
      <c r="F9" s="480"/>
      <c r="G9" s="480"/>
      <c r="H9" s="480"/>
      <c r="I9" s="490">
        <f t="shared" si="1"/>
        <v>168.85964912280701</v>
      </c>
      <c r="J9" s="482"/>
      <c r="K9" s="470"/>
      <c r="L9" s="494"/>
      <c r="M9" s="494"/>
      <c r="N9" s="494"/>
      <c r="O9" s="494"/>
      <c r="P9" s="494"/>
      <c r="Q9" s="494"/>
      <c r="R9" s="494"/>
      <c r="S9" s="494"/>
      <c r="T9" s="15"/>
      <c r="U9" s="15"/>
      <c r="V9" s="15"/>
      <c r="W9" s="15"/>
      <c r="X9" s="15"/>
      <c r="Y9" s="15"/>
      <c r="Z9" s="15"/>
    </row>
    <row r="10" spans="1:26" ht="12.95" customHeight="1" x14ac:dyDescent="0.25">
      <c r="A10" s="478" t="s">
        <v>198</v>
      </c>
      <c r="B10" s="479">
        <v>8</v>
      </c>
      <c r="C10" s="480" t="s">
        <v>237</v>
      </c>
      <c r="D10" s="480" t="s">
        <v>237</v>
      </c>
      <c r="E10" s="480"/>
      <c r="F10" s="480"/>
      <c r="G10" s="480"/>
      <c r="H10" s="480"/>
      <c r="I10" s="490" t="str">
        <f t="shared" si="1"/>
        <v xml:space="preserve"> </v>
      </c>
      <c r="J10" s="482"/>
      <c r="K10" s="470"/>
      <c r="L10" s="494"/>
      <c r="M10" s="494"/>
      <c r="N10" s="494"/>
      <c r="O10" s="494"/>
      <c r="P10" s="494"/>
      <c r="Q10" s="494"/>
      <c r="R10" s="494"/>
      <c r="S10" s="494"/>
      <c r="T10" s="15"/>
      <c r="U10" s="15"/>
      <c r="V10" s="15"/>
      <c r="W10" s="15"/>
      <c r="X10" s="15"/>
      <c r="Y10" s="15"/>
      <c r="Z10" s="15"/>
    </row>
    <row r="11" spans="1:26" ht="12.95" customHeight="1" x14ac:dyDescent="0.25">
      <c r="A11" s="478" t="s">
        <v>199</v>
      </c>
      <c r="B11" s="479">
        <v>8</v>
      </c>
      <c r="C11" s="480" t="s">
        <v>237</v>
      </c>
      <c r="D11" s="480" t="s">
        <v>237</v>
      </c>
      <c r="E11" s="480"/>
      <c r="F11" s="480"/>
      <c r="G11" s="480"/>
      <c r="H11" s="480"/>
      <c r="I11" s="490" t="str">
        <f t="shared" si="1"/>
        <v xml:space="preserve"> </v>
      </c>
      <c r="J11" s="482"/>
      <c r="K11" s="470"/>
      <c r="L11" s="494"/>
      <c r="M11" s="494"/>
      <c r="N11" s="494"/>
      <c r="O11" s="494"/>
      <c r="P11" s="494"/>
      <c r="Q11" s="494"/>
      <c r="R11" s="494"/>
      <c r="S11" s="494"/>
      <c r="T11" s="15"/>
      <c r="U11" s="15"/>
      <c r="V11" s="15"/>
      <c r="W11" s="15"/>
      <c r="X11" s="15"/>
      <c r="Y11" s="15"/>
      <c r="Z11" s="15"/>
    </row>
    <row r="12" spans="1:26" ht="12.95" customHeight="1" x14ac:dyDescent="0.25">
      <c r="A12" s="478" t="s">
        <v>200</v>
      </c>
      <c r="B12" s="479">
        <v>8</v>
      </c>
      <c r="C12" s="480" t="s">
        <v>237</v>
      </c>
      <c r="D12" s="480">
        <v>34.055727554179569</v>
      </c>
      <c r="E12" s="480"/>
      <c r="F12" s="480"/>
      <c r="G12" s="480"/>
      <c r="H12" s="480"/>
      <c r="I12" s="490">
        <f t="shared" si="1"/>
        <v>34.055727554179569</v>
      </c>
      <c r="J12" s="482"/>
      <c r="K12" s="470"/>
      <c r="L12" s="494"/>
      <c r="M12" s="494"/>
      <c r="N12" s="494"/>
      <c r="O12" s="494"/>
      <c r="P12" s="494"/>
      <c r="Q12" s="494"/>
      <c r="R12" s="494"/>
      <c r="S12" s="494"/>
      <c r="T12" s="15"/>
      <c r="U12" s="15"/>
      <c r="V12" s="15"/>
      <c r="W12" s="15"/>
      <c r="X12" s="15"/>
      <c r="Y12" s="15"/>
      <c r="Z12" s="15"/>
    </row>
    <row r="13" spans="1:26" ht="12.95" customHeight="1" x14ac:dyDescent="0.25">
      <c r="A13" s="478" t="s">
        <v>201</v>
      </c>
      <c r="B13" s="479">
        <v>8</v>
      </c>
      <c r="C13" s="480" t="s">
        <v>237</v>
      </c>
      <c r="D13" s="480" t="s">
        <v>237</v>
      </c>
      <c r="E13" s="480"/>
      <c r="F13" s="480"/>
      <c r="G13" s="480"/>
      <c r="H13" s="480"/>
      <c r="I13" s="490" t="str">
        <f t="shared" si="1"/>
        <v xml:space="preserve"> </v>
      </c>
      <c r="J13" s="482"/>
      <c r="K13" s="470"/>
      <c r="L13" s="494"/>
      <c r="M13" s="494"/>
      <c r="N13" s="494"/>
      <c r="O13" s="494"/>
      <c r="P13" s="494"/>
      <c r="Q13" s="494"/>
      <c r="R13" s="494"/>
      <c r="S13" s="494"/>
      <c r="T13" s="15"/>
      <c r="U13" s="15"/>
      <c r="V13" s="15"/>
      <c r="W13" s="15"/>
      <c r="X13" s="15"/>
      <c r="Y13" s="15"/>
      <c r="Z13" s="15"/>
    </row>
    <row r="14" spans="1:26" ht="12.95" customHeight="1" x14ac:dyDescent="0.25">
      <c r="A14" s="478" t="s">
        <v>202</v>
      </c>
      <c r="B14" s="479">
        <v>8</v>
      </c>
      <c r="C14" s="480" t="s">
        <v>237</v>
      </c>
      <c r="D14" s="480">
        <v>3.3287133264930304</v>
      </c>
      <c r="E14" s="480"/>
      <c r="F14" s="480"/>
      <c r="G14" s="480"/>
      <c r="H14" s="480"/>
      <c r="I14" s="490">
        <f t="shared" si="1"/>
        <v>3.3287133264930304</v>
      </c>
      <c r="J14" s="482"/>
      <c r="K14" s="470"/>
      <c r="L14" s="494"/>
      <c r="M14" s="494"/>
      <c r="N14" s="494"/>
      <c r="O14" s="494"/>
      <c r="P14" s="494"/>
      <c r="Q14" s="494"/>
      <c r="R14" s="494"/>
      <c r="S14" s="494"/>
      <c r="T14" s="15"/>
      <c r="U14" s="15"/>
      <c r="V14" s="15"/>
      <c r="W14" s="15"/>
      <c r="X14" s="15"/>
      <c r="Y14" s="15"/>
      <c r="Z14" s="15"/>
    </row>
    <row r="15" spans="1:26" ht="12.95" customHeight="1" x14ac:dyDescent="0.25">
      <c r="A15" s="478" t="s">
        <v>313</v>
      </c>
      <c r="B15" s="479">
        <v>8</v>
      </c>
      <c r="C15" s="480" t="s">
        <v>237</v>
      </c>
      <c r="D15" s="480" t="s">
        <v>237</v>
      </c>
      <c r="E15" s="480"/>
      <c r="F15" s="480"/>
      <c r="G15" s="480"/>
      <c r="H15" s="480"/>
      <c r="I15" s="490" t="str">
        <f t="shared" si="1"/>
        <v xml:space="preserve"> </v>
      </c>
      <c r="J15" s="482"/>
      <c r="K15" s="470"/>
      <c r="L15" s="494"/>
      <c r="M15" s="494"/>
      <c r="N15" s="494"/>
      <c r="O15" s="494"/>
      <c r="P15" s="494"/>
      <c r="Q15" s="494"/>
      <c r="R15" s="494"/>
      <c r="S15" s="494"/>
      <c r="T15" s="15"/>
      <c r="U15" s="15"/>
      <c r="V15" s="15"/>
      <c r="W15" s="15"/>
      <c r="X15" s="15"/>
      <c r="Y15" s="15"/>
      <c r="Z15" s="15"/>
    </row>
    <row r="16" spans="1:26" ht="12.95" customHeight="1" x14ac:dyDescent="0.25">
      <c r="A16" s="478" t="s">
        <v>203</v>
      </c>
      <c r="B16" s="479">
        <v>8</v>
      </c>
      <c r="C16" s="480" t="s">
        <v>237</v>
      </c>
      <c r="D16" s="480" t="s">
        <v>237</v>
      </c>
      <c r="E16" s="480"/>
      <c r="F16" s="480"/>
      <c r="G16" s="480"/>
      <c r="H16" s="480"/>
      <c r="I16" s="490" t="str">
        <f t="shared" si="1"/>
        <v xml:space="preserve"> </v>
      </c>
      <c r="J16" s="482"/>
      <c r="K16" s="470"/>
      <c r="L16" s="494"/>
      <c r="M16" s="494"/>
      <c r="N16" s="494"/>
      <c r="O16" s="494"/>
      <c r="P16" s="494"/>
      <c r="Q16" s="494"/>
      <c r="R16" s="494"/>
      <c r="S16" s="494"/>
      <c r="T16" s="15"/>
      <c r="U16" s="15"/>
      <c r="V16" s="15"/>
      <c r="W16" s="15"/>
      <c r="X16" s="15"/>
      <c r="Y16" s="15"/>
      <c r="Z16" s="15"/>
    </row>
    <row r="17" spans="1:26" ht="12.95" customHeight="1" x14ac:dyDescent="0.25">
      <c r="A17" s="478" t="s">
        <v>204</v>
      </c>
      <c r="B17" s="479">
        <v>8</v>
      </c>
      <c r="C17" s="480" t="s">
        <v>237</v>
      </c>
      <c r="D17" s="480">
        <v>34.663865546218489</v>
      </c>
      <c r="E17" s="480"/>
      <c r="F17" s="480"/>
      <c r="G17" s="480"/>
      <c r="H17" s="480"/>
      <c r="I17" s="490">
        <f t="shared" si="1"/>
        <v>34.663865546218489</v>
      </c>
      <c r="J17" s="482"/>
      <c r="K17" s="470"/>
      <c r="L17" s="494"/>
      <c r="M17" s="494"/>
      <c r="N17" s="494"/>
      <c r="O17" s="494"/>
      <c r="P17" s="494"/>
      <c r="Q17" s="494"/>
      <c r="R17" s="494"/>
      <c r="S17" s="494"/>
      <c r="T17" s="15"/>
      <c r="U17" s="15"/>
      <c r="V17" s="15"/>
      <c r="W17" s="15"/>
      <c r="X17" s="15"/>
      <c r="Y17" s="15"/>
      <c r="Z17" s="15"/>
    </row>
    <row r="18" spans="1:26" ht="12.95" customHeight="1" x14ac:dyDescent="0.25">
      <c r="A18" s="478" t="s">
        <v>314</v>
      </c>
      <c r="B18" s="479">
        <v>8</v>
      </c>
      <c r="C18" s="480" t="s">
        <v>237</v>
      </c>
      <c r="D18" s="480" t="s">
        <v>237</v>
      </c>
      <c r="E18" s="480"/>
      <c r="F18" s="480"/>
      <c r="G18" s="480"/>
      <c r="H18" s="480"/>
      <c r="I18" s="490" t="str">
        <f t="shared" si="1"/>
        <v xml:space="preserve"> </v>
      </c>
      <c r="J18" s="482"/>
      <c r="K18" s="470"/>
      <c r="L18" s="494"/>
      <c r="M18" s="494"/>
      <c r="N18" s="494"/>
      <c r="O18" s="494"/>
      <c r="P18" s="494"/>
      <c r="Q18" s="494"/>
      <c r="R18" s="494"/>
      <c r="S18" s="494"/>
      <c r="T18" s="15"/>
      <c r="U18" s="15"/>
      <c r="V18" s="15"/>
      <c r="W18" s="15"/>
      <c r="X18" s="15"/>
      <c r="Y18" s="15"/>
      <c r="Z18" s="15"/>
    </row>
    <row r="19" spans="1:26" ht="12.95" customHeight="1" x14ac:dyDescent="0.25">
      <c r="A19" s="478" t="s">
        <v>205</v>
      </c>
      <c r="B19" s="479">
        <v>8</v>
      </c>
      <c r="C19" s="480" t="s">
        <v>237</v>
      </c>
      <c r="D19" s="480" t="s">
        <v>237</v>
      </c>
      <c r="E19" s="480"/>
      <c r="F19" s="480"/>
      <c r="G19" s="480"/>
      <c r="H19" s="480"/>
      <c r="I19" s="490" t="str">
        <f t="shared" si="1"/>
        <v xml:space="preserve"> </v>
      </c>
      <c r="J19" s="482"/>
      <c r="K19" s="470"/>
      <c r="L19" s="494"/>
      <c r="M19" s="494"/>
      <c r="N19" s="494"/>
      <c r="O19" s="494"/>
      <c r="P19" s="494"/>
      <c r="Q19" s="494"/>
      <c r="R19" s="494"/>
      <c r="S19" s="494"/>
      <c r="T19" s="15"/>
      <c r="U19" s="15"/>
      <c r="V19" s="15"/>
      <c r="W19" s="15"/>
      <c r="X19" s="15"/>
      <c r="Y19" s="15"/>
      <c r="Z19" s="15"/>
    </row>
    <row r="20" spans="1:26" ht="12.95" customHeight="1" x14ac:dyDescent="0.25">
      <c r="A20" s="478" t="s">
        <v>206</v>
      </c>
      <c r="B20" s="479">
        <v>8</v>
      </c>
      <c r="C20" s="480" t="s">
        <v>237</v>
      </c>
      <c r="D20" s="480" t="s">
        <v>237</v>
      </c>
      <c r="E20" s="480"/>
      <c r="F20" s="480"/>
      <c r="G20" s="480"/>
      <c r="H20" s="480"/>
      <c r="I20" s="490" t="str">
        <f t="shared" si="1"/>
        <v xml:space="preserve"> </v>
      </c>
      <c r="J20" s="482"/>
      <c r="K20" s="470"/>
      <c r="L20" s="494"/>
      <c r="M20" s="494"/>
      <c r="N20" s="494"/>
      <c r="O20" s="494"/>
      <c r="P20" s="494"/>
      <c r="Q20" s="494"/>
      <c r="R20" s="494"/>
      <c r="S20" s="494"/>
      <c r="T20" s="15"/>
      <c r="U20" s="15"/>
      <c r="V20" s="15"/>
      <c r="W20" s="15"/>
      <c r="X20" s="15"/>
      <c r="Y20" s="15"/>
      <c r="Z20" s="15"/>
    </row>
    <row r="21" spans="1:26" ht="12.95" customHeight="1" x14ac:dyDescent="0.25">
      <c r="A21" s="478" t="s">
        <v>207</v>
      </c>
      <c r="B21" s="479">
        <v>8</v>
      </c>
      <c r="C21" s="480" t="s">
        <v>237</v>
      </c>
      <c r="D21" s="480">
        <v>53.734988805210662</v>
      </c>
      <c r="E21" s="480"/>
      <c r="F21" s="480"/>
      <c r="G21" s="480"/>
      <c r="H21" s="480"/>
      <c r="I21" s="490">
        <f t="shared" si="1"/>
        <v>53.734988805210662</v>
      </c>
      <c r="J21" s="482"/>
      <c r="K21" s="470"/>
      <c r="L21" s="494"/>
      <c r="M21" s="494"/>
      <c r="N21" s="494"/>
      <c r="O21" s="494"/>
      <c r="P21" s="494"/>
      <c r="Q21" s="494"/>
      <c r="R21" s="494"/>
      <c r="S21" s="494"/>
      <c r="T21" s="15"/>
      <c r="U21" s="15"/>
      <c r="V21" s="15"/>
      <c r="W21" s="15"/>
      <c r="X21" s="15"/>
      <c r="Y21" s="15"/>
      <c r="Z21" s="15"/>
    </row>
    <row r="22" spans="1:26" ht="12.95" customHeight="1" x14ac:dyDescent="0.25">
      <c r="A22" s="478" t="s">
        <v>208</v>
      </c>
      <c r="B22" s="479">
        <v>8</v>
      </c>
      <c r="C22" s="480">
        <v>55</v>
      </c>
      <c r="D22" s="480">
        <v>31.428571428571427</v>
      </c>
      <c r="E22" s="480"/>
      <c r="F22" s="480"/>
      <c r="G22" s="480"/>
      <c r="H22" s="480"/>
      <c r="I22" s="490">
        <f t="shared" si="1"/>
        <v>86.428571428571431</v>
      </c>
      <c r="J22" s="482"/>
      <c r="K22" s="470"/>
      <c r="L22" s="494"/>
      <c r="M22" s="494"/>
      <c r="N22" s="494"/>
      <c r="O22" s="494"/>
      <c r="P22" s="494"/>
      <c r="Q22" s="494"/>
      <c r="R22" s="494"/>
      <c r="S22" s="494"/>
      <c r="T22" s="15"/>
      <c r="U22" s="15"/>
      <c r="V22" s="15"/>
      <c r="W22" s="15"/>
      <c r="X22" s="15"/>
      <c r="Y22" s="15"/>
      <c r="Z22" s="15"/>
    </row>
    <row r="23" spans="1:26" ht="12.95" customHeight="1" x14ac:dyDescent="0.25">
      <c r="A23" s="478" t="s">
        <v>209</v>
      </c>
      <c r="B23" s="479">
        <v>8</v>
      </c>
      <c r="C23" s="480">
        <v>51.083591331269346</v>
      </c>
      <c r="D23" s="480" t="s">
        <v>237</v>
      </c>
      <c r="E23" s="480"/>
      <c r="F23" s="480"/>
      <c r="G23" s="480"/>
      <c r="H23" s="480"/>
      <c r="I23" s="490">
        <f t="shared" si="1"/>
        <v>51.083591331269346</v>
      </c>
      <c r="J23" s="482"/>
      <c r="K23" s="470"/>
      <c r="L23" s="494"/>
      <c r="M23" s="494"/>
      <c r="N23" s="494"/>
      <c r="O23" s="494"/>
      <c r="P23" s="494"/>
      <c r="Q23" s="494"/>
      <c r="R23" s="494"/>
      <c r="S23" s="494"/>
      <c r="T23" s="15"/>
      <c r="U23" s="15"/>
      <c r="V23" s="15"/>
      <c r="W23" s="15"/>
      <c r="X23" s="15"/>
      <c r="Y23" s="15"/>
      <c r="Z23" s="15"/>
    </row>
    <row r="24" spans="1:26" ht="12.95" customHeight="1" x14ac:dyDescent="0.25">
      <c r="A24" s="478" t="s">
        <v>210</v>
      </c>
      <c r="B24" s="479">
        <v>8</v>
      </c>
      <c r="C24" s="480" t="s">
        <v>237</v>
      </c>
      <c r="D24" s="480" t="s">
        <v>237</v>
      </c>
      <c r="E24" s="480"/>
      <c r="F24" s="480"/>
      <c r="G24" s="480"/>
      <c r="H24" s="480"/>
      <c r="I24" s="490" t="str">
        <f t="shared" si="1"/>
        <v xml:space="preserve"> </v>
      </c>
      <c r="J24" s="482"/>
      <c r="K24" s="470"/>
      <c r="L24" s="494"/>
      <c r="M24" s="494"/>
      <c r="N24" s="494"/>
      <c r="O24" s="494"/>
      <c r="P24" s="494"/>
      <c r="Q24" s="494"/>
      <c r="R24" s="494"/>
      <c r="S24" s="494"/>
      <c r="T24" s="15"/>
      <c r="U24" s="15"/>
      <c r="V24" s="15"/>
      <c r="W24" s="15"/>
      <c r="X24" s="15"/>
      <c r="Y24" s="15"/>
      <c r="Z24" s="15"/>
    </row>
    <row r="25" spans="1:26" ht="12.95" customHeight="1" x14ac:dyDescent="0.25">
      <c r="A25" s="478" t="s">
        <v>211</v>
      </c>
      <c r="B25" s="479">
        <v>8</v>
      </c>
      <c r="C25" s="480">
        <v>77.935222672064768</v>
      </c>
      <c r="D25" s="480" t="s">
        <v>237</v>
      </c>
      <c r="E25" s="480"/>
      <c r="F25" s="480"/>
      <c r="G25" s="480"/>
      <c r="H25" s="480"/>
      <c r="I25" s="490">
        <f t="shared" si="1"/>
        <v>77.935222672064768</v>
      </c>
      <c r="J25" s="482"/>
      <c r="K25" s="470"/>
      <c r="L25" s="494"/>
      <c r="M25" s="494"/>
      <c r="N25" s="494"/>
      <c r="O25" s="494"/>
      <c r="P25" s="494"/>
      <c r="Q25" s="494"/>
      <c r="R25" s="494"/>
      <c r="S25" s="494"/>
      <c r="T25" s="15"/>
      <c r="U25" s="15"/>
      <c r="V25" s="15"/>
      <c r="W25" s="15"/>
      <c r="X25" s="15"/>
      <c r="Y25" s="15"/>
      <c r="Z25" s="15"/>
    </row>
    <row r="26" spans="1:26" ht="12.95" customHeight="1" x14ac:dyDescent="0.25">
      <c r="A26" s="478" t="s">
        <v>315</v>
      </c>
      <c r="B26" s="479">
        <v>8</v>
      </c>
      <c r="C26" s="480" t="s">
        <v>237</v>
      </c>
      <c r="D26" s="480">
        <v>57.142857142857153</v>
      </c>
      <c r="E26" s="480"/>
      <c r="F26" s="480"/>
      <c r="G26" s="480"/>
      <c r="H26" s="480"/>
      <c r="I26" s="490">
        <f t="shared" si="1"/>
        <v>57.142857142857153</v>
      </c>
      <c r="J26" s="482"/>
      <c r="K26" s="470"/>
      <c r="L26" s="494"/>
      <c r="M26" s="494"/>
      <c r="N26" s="494"/>
      <c r="O26" s="494"/>
      <c r="P26" s="494"/>
      <c r="Q26" s="494"/>
      <c r="R26" s="494"/>
      <c r="S26" s="494"/>
      <c r="T26" s="15"/>
      <c r="U26" s="15"/>
      <c r="V26" s="15"/>
      <c r="W26" s="15"/>
      <c r="X26" s="15"/>
      <c r="Y26" s="15"/>
      <c r="Z26" s="15"/>
    </row>
    <row r="27" spans="1:26" ht="12.95" customHeight="1" x14ac:dyDescent="0.25">
      <c r="A27" s="478" t="s">
        <v>316</v>
      </c>
      <c r="B27" s="479">
        <v>8</v>
      </c>
      <c r="C27" s="480" t="s">
        <v>237</v>
      </c>
      <c r="D27" s="480" t="s">
        <v>237</v>
      </c>
      <c r="E27" s="480"/>
      <c r="F27" s="480"/>
      <c r="G27" s="480"/>
      <c r="H27" s="480"/>
      <c r="I27" s="490" t="str">
        <f t="shared" si="1"/>
        <v xml:space="preserve"> </v>
      </c>
      <c r="J27" s="482"/>
      <c r="K27" s="470"/>
      <c r="L27" s="494"/>
      <c r="M27" s="494"/>
      <c r="N27" s="494"/>
      <c r="O27" s="494"/>
      <c r="P27" s="494"/>
      <c r="Q27" s="494"/>
      <c r="R27" s="494"/>
      <c r="S27" s="494"/>
      <c r="T27" s="15"/>
      <c r="U27" s="15"/>
      <c r="V27" s="15"/>
      <c r="W27" s="15"/>
      <c r="X27" s="15"/>
      <c r="Y27" s="15"/>
      <c r="Z27" s="15"/>
    </row>
    <row r="28" spans="1:26" ht="12.95" customHeight="1" x14ac:dyDescent="0.25">
      <c r="A28" s="478" t="s">
        <v>212</v>
      </c>
      <c r="B28" s="479">
        <v>8</v>
      </c>
      <c r="C28" s="480" t="s">
        <v>237</v>
      </c>
      <c r="D28" s="480" t="s">
        <v>237</v>
      </c>
      <c r="E28" s="480"/>
      <c r="F28" s="480"/>
      <c r="G28" s="480"/>
      <c r="H28" s="480"/>
      <c r="I28" s="490" t="str">
        <f t="shared" si="1"/>
        <v xml:space="preserve"> </v>
      </c>
      <c r="J28" s="482"/>
      <c r="K28" s="470"/>
      <c r="L28" s="494"/>
      <c r="M28" s="494"/>
      <c r="N28" s="494"/>
      <c r="O28" s="494"/>
      <c r="P28" s="494"/>
      <c r="Q28" s="494"/>
      <c r="R28" s="494"/>
      <c r="S28" s="494"/>
      <c r="T28" s="15"/>
      <c r="U28" s="15"/>
      <c r="V28" s="15"/>
      <c r="W28" s="15"/>
      <c r="X28" s="15"/>
      <c r="Y28" s="15"/>
      <c r="Z28" s="15"/>
    </row>
    <row r="29" spans="1:26" ht="12.95" customHeight="1" x14ac:dyDescent="0.25">
      <c r="A29" s="478" t="s">
        <v>317</v>
      </c>
      <c r="B29" s="479">
        <v>8</v>
      </c>
      <c r="C29" s="480">
        <v>67.941176470588232</v>
      </c>
      <c r="D29" s="480" t="s">
        <v>237</v>
      </c>
      <c r="E29" s="480"/>
      <c r="F29" s="480"/>
      <c r="G29" s="480"/>
      <c r="H29" s="480"/>
      <c r="I29" s="490">
        <f t="shared" si="1"/>
        <v>67.941176470588232</v>
      </c>
      <c r="J29" s="482"/>
      <c r="K29" s="470"/>
      <c r="L29" s="494"/>
      <c r="M29" s="494"/>
      <c r="N29" s="494"/>
      <c r="O29" s="494"/>
      <c r="P29" s="494"/>
      <c r="Q29" s="494"/>
      <c r="R29" s="494"/>
      <c r="S29" s="494"/>
      <c r="T29" s="15"/>
      <c r="U29" s="15"/>
      <c r="V29" s="15"/>
      <c r="W29" s="15"/>
      <c r="X29" s="15"/>
      <c r="Y29" s="15"/>
      <c r="Z29" s="15"/>
    </row>
    <row r="30" spans="1:26" ht="12.95" customHeight="1" x14ac:dyDescent="0.25">
      <c r="A30" s="478" t="s">
        <v>213</v>
      </c>
      <c r="B30" s="479">
        <v>8</v>
      </c>
      <c r="C30" s="480">
        <v>69.902979856353639</v>
      </c>
      <c r="D30" s="480" t="s">
        <v>237</v>
      </c>
      <c r="E30" s="480"/>
      <c r="F30" s="480"/>
      <c r="G30" s="480"/>
      <c r="H30" s="480"/>
      <c r="I30" s="490">
        <f t="shared" si="1"/>
        <v>69.902979856353639</v>
      </c>
      <c r="J30" s="482"/>
      <c r="K30" s="470"/>
      <c r="L30" s="494"/>
      <c r="M30" s="494"/>
      <c r="N30" s="494"/>
      <c r="O30" s="494"/>
      <c r="P30" s="494"/>
      <c r="Q30" s="494"/>
      <c r="R30" s="494"/>
      <c r="S30" s="494"/>
      <c r="T30" s="15"/>
      <c r="U30" s="15"/>
      <c r="V30" s="15"/>
      <c r="W30" s="15"/>
      <c r="X30" s="15"/>
      <c r="Y30" s="15"/>
      <c r="Z30" s="15"/>
    </row>
    <row r="31" spans="1:26" ht="12.95" customHeight="1" x14ac:dyDescent="0.25">
      <c r="A31" s="478" t="s">
        <v>214</v>
      </c>
      <c r="B31" s="479">
        <v>8</v>
      </c>
      <c r="C31" s="480" t="s">
        <v>237</v>
      </c>
      <c r="D31" s="480" t="s">
        <v>237</v>
      </c>
      <c r="E31" s="480"/>
      <c r="F31" s="480"/>
      <c r="G31" s="480"/>
      <c r="H31" s="480"/>
      <c r="I31" s="490" t="str">
        <f t="shared" si="1"/>
        <v xml:space="preserve"> </v>
      </c>
      <c r="J31" s="482"/>
      <c r="K31" s="470"/>
      <c r="L31" s="494"/>
      <c r="M31" s="494"/>
      <c r="N31" s="494"/>
      <c r="O31" s="494"/>
      <c r="P31" s="494"/>
      <c r="Q31" s="494"/>
      <c r="R31" s="494"/>
      <c r="S31" s="494"/>
      <c r="T31" s="15"/>
      <c r="U31" s="15"/>
      <c r="V31" s="15"/>
      <c r="W31" s="15"/>
      <c r="X31" s="15"/>
      <c r="Y31" s="15"/>
      <c r="Z31" s="15"/>
    </row>
    <row r="32" spans="1:26" ht="12.95" customHeight="1" x14ac:dyDescent="0.25">
      <c r="A32" s="478" t="s">
        <v>215</v>
      </c>
      <c r="B32" s="479">
        <v>8</v>
      </c>
      <c r="C32" s="480" t="s">
        <v>237</v>
      </c>
      <c r="D32" s="480">
        <v>30.357865537616448</v>
      </c>
      <c r="E32" s="480"/>
      <c r="F32" s="480"/>
      <c r="G32" s="480"/>
      <c r="H32" s="480"/>
      <c r="I32" s="490">
        <f t="shared" si="1"/>
        <v>30.357865537616448</v>
      </c>
      <c r="J32" s="482"/>
      <c r="K32" s="470"/>
      <c r="L32" s="494"/>
      <c r="M32" s="494"/>
      <c r="N32" s="494"/>
      <c r="O32" s="494"/>
      <c r="P32" s="494"/>
      <c r="Q32" s="494"/>
      <c r="R32" s="494"/>
      <c r="S32" s="494"/>
      <c r="T32" s="15"/>
      <c r="U32" s="15"/>
      <c r="V32" s="15"/>
      <c r="W32" s="15"/>
      <c r="X32" s="15"/>
      <c r="Y32" s="15"/>
      <c r="Z32" s="15"/>
    </row>
    <row r="33" spans="1:26" ht="12.95" customHeight="1" x14ac:dyDescent="0.25">
      <c r="A33" s="478" t="s">
        <v>216</v>
      </c>
      <c r="B33" s="479">
        <v>8</v>
      </c>
      <c r="C33" s="480" t="s">
        <v>237</v>
      </c>
      <c r="D33" s="480" t="s">
        <v>237</v>
      </c>
      <c r="E33" s="480"/>
      <c r="F33" s="480"/>
      <c r="G33" s="480"/>
      <c r="H33" s="480"/>
      <c r="I33" s="490" t="str">
        <f t="shared" si="1"/>
        <v xml:space="preserve"> </v>
      </c>
      <c r="J33" s="482"/>
      <c r="K33" s="470"/>
      <c r="L33" s="494"/>
      <c r="M33" s="494"/>
      <c r="N33" s="494"/>
      <c r="O33" s="494"/>
      <c r="P33" s="494"/>
      <c r="Q33" s="494"/>
      <c r="R33" s="494"/>
      <c r="S33" s="494"/>
      <c r="T33" s="15"/>
      <c r="U33" s="15"/>
      <c r="V33" s="15"/>
      <c r="W33" s="15"/>
      <c r="X33" s="15"/>
      <c r="Y33" s="15"/>
      <c r="Z33" s="15"/>
    </row>
    <row r="34" spans="1:26" ht="12.95" customHeight="1" x14ac:dyDescent="0.25">
      <c r="A34" s="478" t="s">
        <v>217</v>
      </c>
      <c r="B34" s="479">
        <v>8</v>
      </c>
      <c r="C34" s="480" t="s">
        <v>237</v>
      </c>
      <c r="D34" s="480" t="s">
        <v>237</v>
      </c>
      <c r="E34" s="480"/>
      <c r="F34" s="480"/>
      <c r="G34" s="480"/>
      <c r="H34" s="480"/>
      <c r="I34" s="490" t="str">
        <f t="shared" si="1"/>
        <v xml:space="preserve"> </v>
      </c>
      <c r="J34" s="482"/>
      <c r="K34" s="470"/>
      <c r="L34" s="494"/>
      <c r="M34" s="494"/>
      <c r="N34" s="494"/>
      <c r="O34" s="494"/>
      <c r="P34" s="494"/>
      <c r="Q34" s="494"/>
      <c r="R34" s="494"/>
      <c r="S34" s="494"/>
      <c r="T34" s="15"/>
      <c r="U34" s="15"/>
      <c r="V34" s="15"/>
      <c r="W34" s="15"/>
      <c r="X34" s="15"/>
      <c r="Y34" s="15"/>
      <c r="Z34" s="15"/>
    </row>
    <row r="35" spans="1:26" ht="12.95" customHeight="1" x14ac:dyDescent="0.25">
      <c r="A35" s="478" t="s">
        <v>218</v>
      </c>
      <c r="B35" s="479">
        <v>8</v>
      </c>
      <c r="C35" s="480" t="s">
        <v>237</v>
      </c>
      <c r="D35" s="480">
        <v>15.178932768808224</v>
      </c>
      <c r="E35" s="480"/>
      <c r="F35" s="480"/>
      <c r="G35" s="480"/>
      <c r="H35" s="480"/>
      <c r="I35" s="490">
        <f t="shared" si="1"/>
        <v>15.178932768808224</v>
      </c>
      <c r="J35" s="482"/>
      <c r="K35" s="470"/>
      <c r="L35" s="494"/>
      <c r="M35" s="494"/>
      <c r="N35" s="494"/>
      <c r="O35" s="494"/>
      <c r="P35" s="494"/>
      <c r="Q35" s="494"/>
      <c r="R35" s="494"/>
      <c r="S35" s="494"/>
      <c r="T35" s="15"/>
      <c r="U35" s="15"/>
      <c r="V35" s="15"/>
      <c r="W35" s="15"/>
      <c r="X35" s="15"/>
      <c r="Y35" s="15"/>
      <c r="Z35" s="15"/>
    </row>
    <row r="36" spans="1:26" ht="12.95" customHeight="1" x14ac:dyDescent="0.25">
      <c r="A36" s="478" t="s">
        <v>290</v>
      </c>
      <c r="B36" s="479">
        <v>8</v>
      </c>
      <c r="C36" s="480" t="s">
        <v>237</v>
      </c>
      <c r="D36" s="480">
        <v>30.357865537616448</v>
      </c>
      <c r="E36" s="480"/>
      <c r="F36" s="480"/>
      <c r="G36" s="480"/>
      <c r="H36" s="480"/>
      <c r="I36" s="490">
        <f t="shared" si="1"/>
        <v>30.357865537616448</v>
      </c>
      <c r="J36" s="482"/>
      <c r="K36" s="470"/>
      <c r="L36" s="494"/>
      <c r="M36" s="494"/>
      <c r="N36" s="494"/>
      <c r="O36" s="494"/>
      <c r="P36" s="494"/>
      <c r="Q36" s="494"/>
      <c r="R36" s="494"/>
      <c r="S36" s="494"/>
      <c r="T36" s="15"/>
      <c r="U36" s="15"/>
      <c r="V36" s="15"/>
      <c r="W36" s="15"/>
      <c r="X36" s="15"/>
      <c r="Y36" s="15"/>
      <c r="Z36" s="15"/>
    </row>
    <row r="37" spans="1:26" ht="12.95" customHeight="1" x14ac:dyDescent="0.25">
      <c r="A37" s="478" t="s">
        <v>219</v>
      </c>
      <c r="B37" s="479">
        <v>8</v>
      </c>
      <c r="C37" s="480" t="s">
        <v>237</v>
      </c>
      <c r="D37" s="480" t="s">
        <v>237</v>
      </c>
      <c r="E37" s="480"/>
      <c r="F37" s="480"/>
      <c r="G37" s="480"/>
      <c r="H37" s="480"/>
      <c r="I37" s="490" t="str">
        <f t="shared" si="1"/>
        <v xml:space="preserve"> </v>
      </c>
      <c r="J37" s="482"/>
      <c r="K37" s="470"/>
      <c r="L37" s="494"/>
      <c r="M37" s="494"/>
      <c r="N37" s="494"/>
      <c r="O37" s="494"/>
      <c r="P37" s="494"/>
      <c r="Q37" s="494"/>
      <c r="R37" s="494"/>
      <c r="S37" s="494"/>
      <c r="T37" s="15"/>
      <c r="U37" s="15"/>
      <c r="V37" s="15"/>
      <c r="W37" s="15"/>
      <c r="X37" s="15"/>
      <c r="Y37" s="15"/>
      <c r="Z37" s="15"/>
    </row>
    <row r="38" spans="1:26" ht="12.95" customHeight="1" x14ac:dyDescent="0.25">
      <c r="A38" s="478" t="s">
        <v>220</v>
      </c>
      <c r="B38" s="479">
        <v>8</v>
      </c>
      <c r="C38" s="480" t="s">
        <v>237</v>
      </c>
      <c r="D38" s="480" t="s">
        <v>237</v>
      </c>
      <c r="E38" s="480"/>
      <c r="F38" s="480"/>
      <c r="G38" s="480"/>
      <c r="H38" s="480"/>
      <c r="I38" s="490" t="str">
        <f t="shared" si="1"/>
        <v xml:space="preserve"> </v>
      </c>
      <c r="J38" s="482"/>
      <c r="K38" s="470"/>
      <c r="L38" s="494"/>
      <c r="M38" s="494"/>
      <c r="N38" s="494"/>
      <c r="O38" s="494"/>
      <c r="P38" s="494"/>
      <c r="Q38" s="494"/>
      <c r="R38" s="494"/>
      <c r="S38" s="494"/>
      <c r="T38" s="15"/>
      <c r="U38" s="15"/>
      <c r="V38" s="15"/>
      <c r="W38" s="15"/>
      <c r="X38" s="15"/>
      <c r="Y38" s="15"/>
      <c r="Z38" s="15"/>
    </row>
    <row r="39" spans="1:26" ht="12.95" customHeight="1" x14ac:dyDescent="0.25">
      <c r="A39" s="478" t="s">
        <v>221</v>
      </c>
      <c r="B39" s="479">
        <v>8</v>
      </c>
      <c r="C39" s="480" t="s">
        <v>237</v>
      </c>
      <c r="D39" s="480" t="s">
        <v>237</v>
      </c>
      <c r="E39" s="480"/>
      <c r="F39" s="480"/>
      <c r="G39" s="480"/>
      <c r="H39" s="480"/>
      <c r="I39" s="490" t="str">
        <f t="shared" si="1"/>
        <v xml:space="preserve"> </v>
      </c>
      <c r="J39" s="482"/>
      <c r="K39" s="470"/>
      <c r="L39" s="494"/>
      <c r="M39" s="494"/>
      <c r="N39" s="494"/>
      <c r="O39" s="494"/>
      <c r="P39" s="494"/>
      <c r="Q39" s="494"/>
      <c r="R39" s="494"/>
      <c r="S39" s="494"/>
      <c r="T39" s="15"/>
      <c r="U39" s="15"/>
      <c r="V39" s="15"/>
      <c r="W39" s="15"/>
      <c r="X39" s="15"/>
      <c r="Y39" s="15"/>
      <c r="Z39" s="15"/>
    </row>
    <row r="40" spans="1:26" ht="12.95" customHeight="1" x14ac:dyDescent="0.25">
      <c r="A40" s="478" t="s">
        <v>222</v>
      </c>
      <c r="B40" s="479">
        <v>8</v>
      </c>
      <c r="C40" s="480" t="s">
        <v>237</v>
      </c>
      <c r="D40" s="480" t="s">
        <v>237</v>
      </c>
      <c r="E40" s="480"/>
      <c r="F40" s="480"/>
      <c r="G40" s="480"/>
      <c r="H40" s="480"/>
      <c r="I40" s="490" t="str">
        <f t="shared" si="1"/>
        <v xml:space="preserve"> </v>
      </c>
      <c r="J40" s="482"/>
      <c r="K40" s="470"/>
      <c r="L40" s="494"/>
      <c r="M40" s="494"/>
      <c r="N40" s="494"/>
      <c r="O40" s="494"/>
      <c r="P40" s="494"/>
      <c r="Q40" s="494"/>
      <c r="R40" s="494"/>
      <c r="S40" s="494"/>
      <c r="T40" s="15"/>
      <c r="U40" s="15"/>
      <c r="V40" s="15"/>
      <c r="W40" s="15"/>
      <c r="X40" s="15"/>
      <c r="Y40" s="15"/>
      <c r="Z40" s="15"/>
    </row>
    <row r="41" spans="1:26" ht="12.95" customHeight="1" x14ac:dyDescent="0.25">
      <c r="A41" s="478" t="s">
        <v>288</v>
      </c>
      <c r="B41" s="479">
        <v>8</v>
      </c>
      <c r="C41" s="480" t="s">
        <v>237</v>
      </c>
      <c r="D41" s="480">
        <v>52.380952380952387</v>
      </c>
      <c r="E41" s="480"/>
      <c r="F41" s="480"/>
      <c r="G41" s="480"/>
      <c r="H41" s="480"/>
      <c r="I41" s="490">
        <f t="shared" si="1"/>
        <v>52.380952380952387</v>
      </c>
      <c r="J41" s="482"/>
      <c r="K41" s="470"/>
      <c r="L41" s="494"/>
      <c r="M41" s="494"/>
      <c r="N41" s="494"/>
      <c r="O41" s="494"/>
      <c r="P41" s="494"/>
      <c r="Q41" s="494"/>
      <c r="R41" s="494"/>
      <c r="S41" s="494"/>
      <c r="T41" s="15"/>
      <c r="U41" s="15"/>
      <c r="V41" s="15"/>
      <c r="W41" s="15"/>
      <c r="X41" s="15"/>
      <c r="Y41" s="15"/>
      <c r="Z41" s="15"/>
    </row>
    <row r="42" spans="1:26" ht="12.95" customHeight="1" x14ac:dyDescent="0.25">
      <c r="A42" s="478" t="s">
        <v>223</v>
      </c>
      <c r="B42" s="479">
        <v>8</v>
      </c>
      <c r="C42" s="480" t="s">
        <v>237</v>
      </c>
      <c r="D42" s="480" t="s">
        <v>237</v>
      </c>
      <c r="E42" s="480"/>
      <c r="F42" s="480"/>
      <c r="G42" s="480"/>
      <c r="H42" s="480"/>
      <c r="I42" s="490" t="str">
        <f t="shared" si="1"/>
        <v xml:space="preserve"> </v>
      </c>
      <c r="J42" s="482"/>
      <c r="K42" s="470"/>
      <c r="L42" s="494"/>
      <c r="M42" s="494"/>
      <c r="N42" s="494"/>
      <c r="O42" s="494"/>
      <c r="P42" s="494"/>
      <c r="Q42" s="494"/>
      <c r="R42" s="494"/>
      <c r="S42" s="494"/>
      <c r="T42" s="15"/>
      <c r="U42" s="15"/>
      <c r="V42" s="15"/>
      <c r="W42" s="15"/>
      <c r="X42" s="15"/>
      <c r="Y42" s="15"/>
      <c r="Z42" s="15"/>
    </row>
    <row r="43" spans="1:26" ht="12.95" customHeight="1" x14ac:dyDescent="0.25">
      <c r="A43" s="478" t="s">
        <v>223</v>
      </c>
      <c r="B43" s="487">
        <v>8</v>
      </c>
      <c r="C43" s="480" t="s">
        <v>237</v>
      </c>
      <c r="D43" s="480" t="s">
        <v>237</v>
      </c>
      <c r="E43" s="480"/>
      <c r="F43" s="480"/>
      <c r="G43" s="480"/>
      <c r="H43" s="480"/>
      <c r="I43" s="490" t="str">
        <f t="shared" si="1"/>
        <v xml:space="preserve"> </v>
      </c>
      <c r="J43" s="482"/>
      <c r="K43" s="470"/>
      <c r="L43" s="494"/>
      <c r="M43" s="494"/>
      <c r="N43" s="494"/>
      <c r="O43" s="494"/>
      <c r="P43" s="494"/>
      <c r="Q43" s="494"/>
      <c r="R43" s="494"/>
      <c r="S43" s="494"/>
      <c r="T43" s="15"/>
      <c r="U43" s="15"/>
      <c r="V43" s="15"/>
      <c r="W43" s="15"/>
      <c r="X43" s="15"/>
      <c r="Y43" s="15"/>
      <c r="Z43" s="15"/>
    </row>
    <row r="44" spans="1:26" ht="12.95" customHeight="1" x14ac:dyDescent="0.25">
      <c r="A44" s="478"/>
      <c r="B44" s="490"/>
      <c r="C44" s="480"/>
      <c r="D44" s="480"/>
      <c r="E44" s="480"/>
      <c r="F44" s="480"/>
      <c r="G44" s="480"/>
      <c r="H44" s="480"/>
      <c r="I44" s="490"/>
      <c r="J44" s="482"/>
      <c r="K44" s="470"/>
      <c r="L44" s="494"/>
      <c r="M44" s="494"/>
      <c r="N44" s="494"/>
      <c r="O44" s="494"/>
      <c r="P44" s="494"/>
      <c r="Q44" s="494"/>
      <c r="R44" s="494"/>
      <c r="S44" s="494"/>
      <c r="T44" s="15"/>
      <c r="U44" s="15"/>
      <c r="V44" s="15"/>
      <c r="W44" s="15"/>
      <c r="X44" s="15"/>
      <c r="Y44" s="15"/>
      <c r="Z44" s="15"/>
    </row>
    <row r="45" spans="1:26" ht="12.95" customHeight="1" x14ac:dyDescent="0.25">
      <c r="A45" s="478"/>
      <c r="B45" s="490"/>
      <c r="C45" s="480"/>
      <c r="D45" s="480"/>
      <c r="E45" s="480"/>
      <c r="F45" s="480"/>
      <c r="G45" s="480"/>
      <c r="H45" s="480"/>
      <c r="I45" s="490"/>
      <c r="J45" s="482"/>
      <c r="K45" s="470"/>
      <c r="L45" s="494"/>
      <c r="M45" s="494"/>
      <c r="N45" s="494"/>
      <c r="O45" s="494"/>
      <c r="P45" s="494"/>
      <c r="Q45" s="494"/>
      <c r="R45" s="494"/>
      <c r="S45" s="494"/>
      <c r="T45" s="15"/>
      <c r="U45" s="15"/>
      <c r="V45" s="15"/>
      <c r="W45" s="15"/>
      <c r="X45" s="15"/>
      <c r="Y45" s="15"/>
      <c r="Z45" s="15"/>
    </row>
    <row r="46" spans="1:26" ht="12.95" customHeight="1" x14ac:dyDescent="0.25">
      <c r="A46" s="491" t="s">
        <v>224</v>
      </c>
      <c r="B46" s="490"/>
      <c r="C46" s="480"/>
      <c r="D46" s="480"/>
      <c r="E46" s="480"/>
      <c r="F46" s="480"/>
      <c r="G46" s="480"/>
      <c r="H46" s="480"/>
      <c r="I46" s="490"/>
      <c r="J46" s="482"/>
      <c r="K46" s="470"/>
      <c r="L46" s="494"/>
      <c r="M46" s="494"/>
      <c r="N46" s="494"/>
      <c r="O46" s="494"/>
      <c r="P46" s="494"/>
      <c r="Q46" s="494"/>
      <c r="R46" s="494"/>
      <c r="S46" s="494"/>
      <c r="T46" s="15"/>
      <c r="U46" s="15"/>
      <c r="V46" s="15"/>
      <c r="W46" s="15"/>
      <c r="X46" s="15"/>
      <c r="Y46" s="15"/>
      <c r="Z46" s="15"/>
    </row>
    <row r="47" spans="1:26" ht="12.95" customHeight="1" x14ac:dyDescent="0.25">
      <c r="A47" s="478" t="s">
        <v>225</v>
      </c>
      <c r="B47" s="483">
        <v>8</v>
      </c>
      <c r="C47" s="480">
        <v>56</v>
      </c>
      <c r="D47" s="480">
        <v>11</v>
      </c>
      <c r="E47" s="480"/>
      <c r="F47" s="480"/>
      <c r="G47" s="480"/>
      <c r="H47" s="480"/>
      <c r="I47" s="490">
        <f t="shared" ref="I47:I49" si="2">IF(SUM(C47:H47)&gt;0,SUM(C47:H47)," ")</f>
        <v>67</v>
      </c>
      <c r="J47" s="482"/>
      <c r="K47" s="470"/>
      <c r="L47" s="494"/>
      <c r="M47" s="494"/>
      <c r="N47" s="494"/>
      <c r="O47" s="494"/>
      <c r="P47" s="494"/>
      <c r="Q47" s="494"/>
      <c r="R47" s="494"/>
      <c r="S47" s="494"/>
      <c r="T47" s="15"/>
      <c r="U47" s="15"/>
      <c r="V47" s="15"/>
      <c r="W47" s="15"/>
      <c r="X47" s="15"/>
      <c r="Y47" s="15"/>
      <c r="Z47" s="15"/>
    </row>
    <row r="48" spans="1:26" ht="12.95" customHeight="1" x14ac:dyDescent="0.25">
      <c r="A48" s="478" t="s">
        <v>226</v>
      </c>
      <c r="B48" s="479">
        <v>8</v>
      </c>
      <c r="C48" s="480" t="s">
        <v>237</v>
      </c>
      <c r="D48" s="480" t="s">
        <v>237</v>
      </c>
      <c r="E48" s="480"/>
      <c r="F48" s="480"/>
      <c r="G48" s="480"/>
      <c r="H48" s="480"/>
      <c r="I48" s="490" t="str">
        <f t="shared" si="2"/>
        <v xml:space="preserve"> </v>
      </c>
      <c r="J48" s="482"/>
      <c r="K48" s="470"/>
      <c r="L48" s="494"/>
      <c r="M48" s="494"/>
      <c r="N48" s="494"/>
      <c r="O48" s="494"/>
      <c r="P48" s="494"/>
      <c r="Q48" s="494"/>
      <c r="R48" s="494"/>
      <c r="S48" s="494"/>
      <c r="T48" s="15"/>
      <c r="U48" s="15"/>
      <c r="V48" s="15"/>
      <c r="W48" s="15"/>
      <c r="X48" s="15"/>
      <c r="Y48" s="15"/>
      <c r="Z48" s="15"/>
    </row>
    <row r="49" spans="1:26" ht="12.95" customHeight="1" x14ac:dyDescent="0.25">
      <c r="A49" s="478" t="s">
        <v>318</v>
      </c>
      <c r="B49" s="487">
        <v>8</v>
      </c>
      <c r="C49" s="480" t="s">
        <v>237</v>
      </c>
      <c r="D49" s="480" t="s">
        <v>237</v>
      </c>
      <c r="E49" s="480"/>
      <c r="F49" s="480"/>
      <c r="G49" s="480"/>
      <c r="H49" s="480"/>
      <c r="I49" s="490" t="str">
        <f t="shared" si="2"/>
        <v xml:space="preserve"> </v>
      </c>
      <c r="J49" s="482"/>
      <c r="K49" s="470"/>
      <c r="L49" s="494"/>
      <c r="M49" s="494"/>
      <c r="N49" s="494"/>
      <c r="O49" s="494"/>
      <c r="P49" s="494"/>
      <c r="Q49" s="494"/>
      <c r="R49" s="494"/>
      <c r="S49" s="494"/>
      <c r="T49" s="15"/>
      <c r="U49" s="15"/>
      <c r="V49" s="15"/>
      <c r="W49" s="15"/>
      <c r="X49" s="15"/>
      <c r="Y49" s="15"/>
      <c r="Z49" s="15"/>
    </row>
    <row r="50" spans="1:26" ht="12.95" customHeight="1" x14ac:dyDescent="0.25">
      <c r="A50" s="478"/>
      <c r="B50" s="490"/>
      <c r="C50" s="480"/>
      <c r="D50" s="480"/>
      <c r="E50" s="480"/>
      <c r="F50" s="480"/>
      <c r="G50" s="480"/>
      <c r="H50" s="480"/>
      <c r="I50" s="490"/>
      <c r="J50" s="482"/>
      <c r="K50" s="470"/>
      <c r="L50" s="494"/>
      <c r="M50" s="494"/>
      <c r="N50" s="494"/>
      <c r="O50" s="494"/>
      <c r="P50" s="494"/>
      <c r="Q50" s="494"/>
      <c r="R50" s="494"/>
      <c r="S50" s="494"/>
      <c r="T50" s="15"/>
      <c r="U50" s="15"/>
      <c r="V50" s="15"/>
      <c r="W50" s="15"/>
      <c r="X50" s="15"/>
      <c r="Y50" s="15"/>
      <c r="Z50" s="15"/>
    </row>
    <row r="51" spans="1:26" ht="12.95" customHeight="1" x14ac:dyDescent="0.25">
      <c r="A51" s="478"/>
      <c r="B51" s="490"/>
      <c r="C51" s="480"/>
      <c r="D51" s="480"/>
      <c r="E51" s="480"/>
      <c r="F51" s="480"/>
      <c r="G51" s="480"/>
      <c r="H51" s="480"/>
      <c r="I51" s="490"/>
      <c r="J51" s="482"/>
      <c r="K51" s="470"/>
      <c r="L51" s="494"/>
      <c r="M51" s="494"/>
      <c r="N51" s="494"/>
      <c r="O51" s="494"/>
      <c r="P51" s="494"/>
      <c r="Q51" s="494"/>
      <c r="R51" s="494"/>
      <c r="S51" s="494"/>
      <c r="T51" s="15"/>
      <c r="U51" s="15"/>
      <c r="V51" s="15"/>
      <c r="W51" s="15"/>
      <c r="X51" s="15"/>
      <c r="Y51" s="15"/>
      <c r="Z51" s="15"/>
    </row>
    <row r="52" spans="1:26" ht="12.95" customHeight="1" x14ac:dyDescent="0.25">
      <c r="A52" s="491" t="s">
        <v>227</v>
      </c>
      <c r="B52" s="490"/>
      <c r="C52" s="480"/>
      <c r="D52" s="480"/>
      <c r="E52" s="480"/>
      <c r="F52" s="480"/>
      <c r="G52" s="480"/>
      <c r="H52" s="480"/>
      <c r="I52" s="490"/>
      <c r="J52" s="482"/>
      <c r="K52" s="470"/>
      <c r="L52" s="494"/>
      <c r="M52" s="494"/>
      <c r="N52" s="494"/>
      <c r="O52" s="494"/>
      <c r="P52" s="494"/>
      <c r="Q52" s="494"/>
      <c r="R52" s="494"/>
      <c r="S52" s="494"/>
      <c r="T52" s="15"/>
      <c r="U52" s="15"/>
      <c r="V52" s="15"/>
      <c r="W52" s="15"/>
      <c r="X52" s="15"/>
      <c r="Y52" s="15"/>
      <c r="Z52" s="15"/>
    </row>
    <row r="53" spans="1:26" ht="12.95" customHeight="1" x14ac:dyDescent="0.25">
      <c r="A53" s="478" t="s">
        <v>228</v>
      </c>
      <c r="B53" s="483">
        <v>8</v>
      </c>
      <c r="C53" s="480" t="s">
        <v>237</v>
      </c>
      <c r="D53" s="480" t="s">
        <v>237</v>
      </c>
      <c r="E53" s="480"/>
      <c r="F53" s="480"/>
      <c r="G53" s="480"/>
      <c r="H53" s="480"/>
      <c r="I53" s="490" t="str">
        <f t="shared" ref="I53:I70" si="3">IF(SUM(C53:H53)&gt;0,SUM(C53:H53)," ")</f>
        <v xml:space="preserve"> </v>
      </c>
      <c r="J53" s="482"/>
      <c r="K53" s="470"/>
      <c r="L53" s="494"/>
      <c r="M53" s="494"/>
      <c r="N53" s="494"/>
      <c r="O53" s="494"/>
      <c r="P53" s="494"/>
      <c r="Q53" s="494"/>
      <c r="R53" s="494"/>
      <c r="S53" s="494"/>
      <c r="T53" s="15"/>
      <c r="U53" s="15"/>
      <c r="V53" s="15"/>
      <c r="W53" s="15"/>
      <c r="X53" s="15"/>
      <c r="Y53" s="15"/>
      <c r="Z53" s="15"/>
    </row>
    <row r="54" spans="1:26" ht="12.95" customHeight="1" x14ac:dyDescent="0.25">
      <c r="A54" s="478" t="s">
        <v>319</v>
      </c>
      <c r="B54" s="479">
        <v>8</v>
      </c>
      <c r="C54" s="480" t="s">
        <v>237</v>
      </c>
      <c r="D54" s="480" t="s">
        <v>237</v>
      </c>
      <c r="E54" s="480"/>
      <c r="F54" s="480"/>
      <c r="G54" s="480"/>
      <c r="H54" s="480"/>
      <c r="I54" s="490" t="str">
        <f t="shared" si="3"/>
        <v xml:space="preserve"> </v>
      </c>
      <c r="J54" s="482"/>
      <c r="K54" s="470"/>
      <c r="L54" s="494"/>
      <c r="M54" s="494"/>
      <c r="N54" s="494"/>
      <c r="O54" s="494"/>
      <c r="P54" s="494"/>
      <c r="Q54" s="494"/>
      <c r="R54" s="494"/>
      <c r="S54" s="494"/>
      <c r="T54" s="15"/>
      <c r="U54" s="15"/>
      <c r="V54" s="15"/>
      <c r="W54" s="15"/>
      <c r="X54" s="15"/>
      <c r="Y54" s="15"/>
      <c r="Z54" s="15"/>
    </row>
    <row r="55" spans="1:26" ht="12.95" customHeight="1" x14ac:dyDescent="0.25">
      <c r="A55" s="478" t="s">
        <v>320</v>
      </c>
      <c r="B55" s="479">
        <v>8</v>
      </c>
      <c r="C55" s="480" t="s">
        <v>237</v>
      </c>
      <c r="D55" s="480" t="s">
        <v>237</v>
      </c>
      <c r="E55" s="480"/>
      <c r="F55" s="480"/>
      <c r="G55" s="480"/>
      <c r="H55" s="480"/>
      <c r="I55" s="490" t="str">
        <f t="shared" si="3"/>
        <v xml:space="preserve"> </v>
      </c>
      <c r="J55" s="482"/>
      <c r="K55" s="470"/>
      <c r="L55" s="494"/>
      <c r="M55" s="494"/>
      <c r="N55" s="494"/>
      <c r="O55" s="494"/>
      <c r="P55" s="494"/>
      <c r="Q55" s="494"/>
      <c r="R55" s="494"/>
      <c r="S55" s="494"/>
      <c r="T55" s="15"/>
      <c r="U55" s="15"/>
      <c r="V55" s="15"/>
      <c r="W55" s="15"/>
      <c r="X55" s="15"/>
      <c r="Y55" s="15"/>
      <c r="Z55" s="15"/>
    </row>
    <row r="56" spans="1:26" ht="12.95" customHeight="1" x14ac:dyDescent="0.25">
      <c r="A56" s="478" t="s">
        <v>229</v>
      </c>
      <c r="B56" s="479">
        <v>8</v>
      </c>
      <c r="C56" s="480" t="s">
        <v>237</v>
      </c>
      <c r="D56" s="480" t="s">
        <v>237</v>
      </c>
      <c r="E56" s="480"/>
      <c r="F56" s="480"/>
      <c r="G56" s="480"/>
      <c r="H56" s="480"/>
      <c r="I56" s="490" t="str">
        <f t="shared" si="3"/>
        <v xml:space="preserve"> </v>
      </c>
      <c r="J56" s="482"/>
      <c r="K56" s="470"/>
      <c r="L56" s="494"/>
      <c r="M56" s="494"/>
      <c r="N56" s="494"/>
      <c r="O56" s="494"/>
      <c r="P56" s="494"/>
      <c r="Q56" s="494"/>
      <c r="R56" s="494"/>
      <c r="S56" s="494"/>
      <c r="T56" s="15"/>
      <c r="U56" s="15"/>
      <c r="V56" s="15"/>
      <c r="W56" s="15"/>
      <c r="X56" s="15"/>
      <c r="Y56" s="15"/>
      <c r="Z56" s="15"/>
    </row>
    <row r="57" spans="1:26" ht="12.95" customHeight="1" x14ac:dyDescent="0.25">
      <c r="A57" s="478" t="s">
        <v>321</v>
      </c>
      <c r="B57" s="479">
        <v>8</v>
      </c>
      <c r="C57" s="480" t="s">
        <v>237</v>
      </c>
      <c r="D57" s="480" t="s">
        <v>237</v>
      </c>
      <c r="E57" s="480"/>
      <c r="F57" s="480"/>
      <c r="G57" s="480"/>
      <c r="H57" s="480"/>
      <c r="I57" s="490" t="str">
        <f t="shared" si="3"/>
        <v xml:space="preserve"> </v>
      </c>
      <c r="J57" s="482"/>
      <c r="K57" s="470"/>
      <c r="L57" s="494"/>
      <c r="M57" s="494"/>
      <c r="N57" s="494"/>
      <c r="O57" s="494"/>
      <c r="P57" s="494"/>
      <c r="Q57" s="494"/>
      <c r="R57" s="494"/>
      <c r="S57" s="494"/>
      <c r="T57" s="15"/>
      <c r="U57" s="15"/>
      <c r="V57" s="15"/>
      <c r="W57" s="15"/>
      <c r="X57" s="15"/>
      <c r="Y57" s="15"/>
      <c r="Z57" s="15"/>
    </row>
    <row r="58" spans="1:26" ht="12.95" customHeight="1" x14ac:dyDescent="0.25">
      <c r="A58" s="478" t="s">
        <v>230</v>
      </c>
      <c r="B58" s="479">
        <v>8</v>
      </c>
      <c r="C58" s="480">
        <v>122.22222222222221</v>
      </c>
      <c r="D58" s="480">
        <v>188.57142857142858</v>
      </c>
      <c r="E58" s="480"/>
      <c r="F58" s="480"/>
      <c r="G58" s="480"/>
      <c r="H58" s="480"/>
      <c r="I58" s="490">
        <f t="shared" si="3"/>
        <v>310.79365079365078</v>
      </c>
      <c r="J58" s="482"/>
      <c r="K58" s="470"/>
      <c r="L58" s="494"/>
      <c r="M58" s="494"/>
      <c r="N58" s="494"/>
      <c r="O58" s="494"/>
      <c r="P58" s="494"/>
      <c r="Q58" s="494"/>
      <c r="R58" s="494"/>
      <c r="S58" s="494"/>
      <c r="T58" s="15"/>
      <c r="U58" s="15"/>
      <c r="V58" s="15"/>
      <c r="W58" s="15"/>
      <c r="X58" s="15"/>
      <c r="Y58" s="15"/>
      <c r="Z58" s="15"/>
    </row>
    <row r="59" spans="1:26" ht="12.95" customHeight="1" x14ac:dyDescent="0.25">
      <c r="A59" s="478" t="s">
        <v>231</v>
      </c>
      <c r="B59" s="479">
        <v>8</v>
      </c>
      <c r="C59" s="480" t="s">
        <v>237</v>
      </c>
      <c r="D59" s="480" t="s">
        <v>237</v>
      </c>
      <c r="E59" s="480"/>
      <c r="F59" s="480"/>
      <c r="G59" s="480"/>
      <c r="H59" s="480"/>
      <c r="I59" s="490" t="str">
        <f t="shared" si="3"/>
        <v xml:space="preserve"> </v>
      </c>
      <c r="J59" s="482"/>
      <c r="K59" s="470"/>
      <c r="L59" s="494"/>
      <c r="M59" s="494"/>
      <c r="N59" s="494"/>
      <c r="O59" s="494"/>
      <c r="P59" s="494"/>
      <c r="Q59" s="494"/>
      <c r="R59" s="494"/>
      <c r="S59" s="494"/>
      <c r="T59" s="15"/>
      <c r="U59" s="15"/>
      <c r="V59" s="15"/>
      <c r="W59" s="15"/>
      <c r="X59" s="15"/>
      <c r="Y59" s="15"/>
      <c r="Z59" s="15"/>
    </row>
    <row r="60" spans="1:26" ht="12.95" customHeight="1" x14ac:dyDescent="0.25">
      <c r="A60" s="478" t="s">
        <v>232</v>
      </c>
      <c r="B60" s="479">
        <v>8</v>
      </c>
      <c r="C60" s="480">
        <v>122.22222222222221</v>
      </c>
      <c r="D60" s="480" t="s">
        <v>237</v>
      </c>
      <c r="E60" s="480"/>
      <c r="F60" s="480"/>
      <c r="G60" s="480"/>
      <c r="H60" s="480"/>
      <c r="I60" s="490">
        <f t="shared" si="3"/>
        <v>122.22222222222221</v>
      </c>
      <c r="J60" s="482"/>
      <c r="K60" s="470"/>
      <c r="L60" s="494"/>
      <c r="M60" s="494"/>
      <c r="N60" s="494"/>
      <c r="O60" s="494"/>
      <c r="P60" s="494"/>
      <c r="Q60" s="494"/>
      <c r="R60" s="494"/>
      <c r="S60" s="494"/>
      <c r="T60" s="15"/>
      <c r="U60" s="15"/>
      <c r="V60" s="15"/>
      <c r="W60" s="15"/>
      <c r="X60" s="15"/>
      <c r="Y60" s="15"/>
      <c r="Z60" s="15"/>
    </row>
    <row r="61" spans="1:26" ht="12.95" customHeight="1" x14ac:dyDescent="0.25">
      <c r="A61" s="478" t="s">
        <v>233</v>
      </c>
      <c r="B61" s="479">
        <v>8</v>
      </c>
      <c r="C61" s="480" t="s">
        <v>237</v>
      </c>
      <c r="D61" s="480">
        <v>188.57142857142858</v>
      </c>
      <c r="E61" s="480"/>
      <c r="F61" s="480"/>
      <c r="G61" s="480"/>
      <c r="H61" s="480"/>
      <c r="I61" s="490">
        <f t="shared" si="3"/>
        <v>188.57142857142858</v>
      </c>
      <c r="J61" s="482"/>
      <c r="K61" s="470"/>
      <c r="L61" s="494"/>
      <c r="M61" s="494"/>
      <c r="N61" s="494"/>
      <c r="O61" s="494"/>
      <c r="P61" s="494"/>
      <c r="Q61" s="494"/>
      <c r="R61" s="494"/>
      <c r="S61" s="494"/>
      <c r="T61" s="15"/>
      <c r="U61" s="15"/>
      <c r="V61" s="15"/>
      <c r="W61" s="15"/>
      <c r="X61" s="15"/>
      <c r="Y61" s="15"/>
      <c r="Z61" s="15"/>
    </row>
    <row r="62" spans="1:26" ht="12.95" customHeight="1" x14ac:dyDescent="0.25">
      <c r="A62" s="478" t="s">
        <v>234</v>
      </c>
      <c r="B62" s="479">
        <v>8</v>
      </c>
      <c r="C62" s="480" t="s">
        <v>237</v>
      </c>
      <c r="D62" s="480" t="s">
        <v>237</v>
      </c>
      <c r="E62" s="480"/>
      <c r="F62" s="480"/>
      <c r="G62" s="480"/>
      <c r="H62" s="480"/>
      <c r="I62" s="490" t="str">
        <f t="shared" si="3"/>
        <v xml:space="preserve"> </v>
      </c>
      <c r="J62" s="482"/>
      <c r="K62" s="470"/>
      <c r="L62" s="494"/>
      <c r="M62" s="494"/>
      <c r="N62" s="494"/>
      <c r="O62" s="494"/>
      <c r="P62" s="494"/>
      <c r="Q62" s="494"/>
      <c r="R62" s="494"/>
      <c r="S62" s="494"/>
      <c r="T62" s="15"/>
      <c r="U62" s="15"/>
      <c r="V62" s="15"/>
      <c r="W62" s="15"/>
      <c r="X62" s="15"/>
      <c r="Y62" s="15"/>
      <c r="Z62" s="15"/>
    </row>
    <row r="63" spans="1:26" ht="12.95" customHeight="1" x14ac:dyDescent="0.25">
      <c r="A63" s="478" t="s">
        <v>322</v>
      </c>
      <c r="B63" s="479">
        <v>8</v>
      </c>
      <c r="C63" s="480">
        <v>122.22222222222221</v>
      </c>
      <c r="D63" s="480">
        <v>188.57142857142858</v>
      </c>
      <c r="E63" s="480"/>
      <c r="F63" s="480"/>
      <c r="G63" s="480"/>
      <c r="H63" s="480"/>
      <c r="I63" s="490">
        <f t="shared" si="3"/>
        <v>310.79365079365078</v>
      </c>
      <c r="J63" s="482"/>
      <c r="K63" s="470"/>
      <c r="L63" s="494"/>
      <c r="M63" s="494"/>
      <c r="N63" s="494"/>
      <c r="O63" s="494"/>
      <c r="P63" s="494"/>
      <c r="Q63" s="494"/>
      <c r="R63" s="494"/>
      <c r="S63" s="494"/>
      <c r="T63" s="15"/>
      <c r="U63" s="15"/>
      <c r="V63" s="15"/>
      <c r="W63" s="15"/>
      <c r="X63" s="15"/>
      <c r="Y63" s="15"/>
      <c r="Z63" s="15"/>
    </row>
    <row r="64" spans="1:26" ht="12.95" customHeight="1" x14ac:dyDescent="0.25">
      <c r="A64" s="478" t="s">
        <v>235</v>
      </c>
      <c r="B64" s="479">
        <v>8</v>
      </c>
      <c r="C64" s="480"/>
      <c r="D64" s="480"/>
      <c r="E64" s="480"/>
      <c r="F64" s="480"/>
      <c r="G64" s="480"/>
      <c r="H64" s="480"/>
      <c r="I64" s="490" t="str">
        <f t="shared" si="3"/>
        <v xml:space="preserve"> </v>
      </c>
      <c r="J64" s="482"/>
      <c r="K64" s="470"/>
      <c r="L64" s="494"/>
      <c r="M64" s="494"/>
      <c r="N64" s="494"/>
      <c r="O64" s="494"/>
      <c r="P64" s="494"/>
      <c r="Q64" s="494"/>
      <c r="R64" s="494"/>
      <c r="S64" s="494"/>
      <c r="T64" s="15"/>
      <c r="U64" s="15"/>
      <c r="V64" s="15"/>
      <c r="W64" s="15"/>
      <c r="X64" s="15"/>
      <c r="Y64" s="15"/>
      <c r="Z64" s="15"/>
    </row>
    <row r="65" spans="1:26" ht="12.95" customHeight="1" x14ac:dyDescent="0.25">
      <c r="A65" s="478" t="s">
        <v>323</v>
      </c>
      <c r="B65" s="479">
        <v>8</v>
      </c>
      <c r="C65" s="480" t="s">
        <v>237</v>
      </c>
      <c r="D65" s="480" t="s">
        <v>237</v>
      </c>
      <c r="E65" s="480"/>
      <c r="F65" s="480"/>
      <c r="G65" s="480"/>
      <c r="H65" s="480"/>
      <c r="I65" s="490" t="str">
        <f t="shared" si="3"/>
        <v xml:space="preserve"> </v>
      </c>
      <c r="J65" s="482"/>
      <c r="K65" s="470"/>
      <c r="L65" s="494"/>
      <c r="M65" s="494"/>
      <c r="N65" s="494"/>
      <c r="O65" s="494"/>
      <c r="P65" s="494"/>
      <c r="Q65" s="494"/>
      <c r="R65" s="494"/>
      <c r="S65" s="494"/>
      <c r="T65" s="15"/>
      <c r="U65" s="15"/>
      <c r="V65" s="15"/>
      <c r="W65" s="15"/>
      <c r="X65" s="15"/>
      <c r="Y65" s="15"/>
      <c r="Z65" s="15"/>
    </row>
    <row r="66" spans="1:26" ht="12.95" customHeight="1" x14ac:dyDescent="0.25">
      <c r="A66" s="478" t="s">
        <v>324</v>
      </c>
      <c r="B66" s="479">
        <v>8</v>
      </c>
      <c r="C66" s="480" t="s">
        <v>237</v>
      </c>
      <c r="D66" s="480" t="s">
        <v>237</v>
      </c>
      <c r="E66" s="480"/>
      <c r="F66" s="480"/>
      <c r="G66" s="480"/>
      <c r="H66" s="480"/>
      <c r="I66" s="490" t="str">
        <f t="shared" si="3"/>
        <v xml:space="preserve"> </v>
      </c>
      <c r="J66" s="482"/>
      <c r="K66" s="470"/>
      <c r="L66" s="494"/>
      <c r="M66" s="494"/>
      <c r="N66" s="494"/>
      <c r="O66" s="494"/>
      <c r="P66" s="494"/>
      <c r="Q66" s="494"/>
      <c r="R66" s="494"/>
      <c r="S66" s="494"/>
      <c r="T66" s="15"/>
      <c r="U66" s="15"/>
      <c r="V66" s="15"/>
      <c r="W66" s="15"/>
      <c r="X66" s="15"/>
      <c r="Y66" s="15"/>
      <c r="Z66" s="15"/>
    </row>
    <row r="67" spans="1:26" ht="12.95" customHeight="1" x14ac:dyDescent="0.25">
      <c r="A67" s="478" t="s">
        <v>325</v>
      </c>
      <c r="B67" s="479">
        <v>8</v>
      </c>
      <c r="C67" s="480" t="s">
        <v>237</v>
      </c>
      <c r="D67" s="480" t="s">
        <v>237</v>
      </c>
      <c r="E67" s="480"/>
      <c r="F67" s="480"/>
      <c r="G67" s="480"/>
      <c r="H67" s="480"/>
      <c r="I67" s="490" t="str">
        <f t="shared" si="3"/>
        <v xml:space="preserve"> </v>
      </c>
      <c r="J67" s="482"/>
      <c r="K67" s="470"/>
      <c r="L67" s="494"/>
      <c r="M67" s="494"/>
      <c r="N67" s="494"/>
      <c r="O67" s="494"/>
      <c r="P67" s="494"/>
      <c r="Q67" s="494"/>
      <c r="R67" s="494"/>
      <c r="S67" s="494"/>
      <c r="T67" s="15"/>
      <c r="U67" s="15"/>
      <c r="V67" s="15"/>
      <c r="W67" s="15"/>
      <c r="X67" s="15"/>
      <c r="Y67" s="15"/>
      <c r="Z67" s="15"/>
    </row>
    <row r="68" spans="1:26" ht="12.95" customHeight="1" x14ac:dyDescent="0.25">
      <c r="A68" s="478" t="s">
        <v>235</v>
      </c>
      <c r="B68" s="479">
        <v>8</v>
      </c>
      <c r="C68" s="480"/>
      <c r="D68" s="480"/>
      <c r="E68" s="480"/>
      <c r="F68" s="480"/>
      <c r="G68" s="480"/>
      <c r="H68" s="480"/>
      <c r="I68" s="490" t="str">
        <f t="shared" si="3"/>
        <v xml:space="preserve"> </v>
      </c>
      <c r="J68" s="482"/>
      <c r="K68" s="470"/>
      <c r="L68" s="494"/>
      <c r="M68" s="494"/>
      <c r="N68" s="494"/>
      <c r="O68" s="494"/>
      <c r="P68" s="494"/>
      <c r="Q68" s="494"/>
      <c r="R68" s="494"/>
      <c r="S68" s="494"/>
      <c r="T68" s="15"/>
      <c r="U68" s="15"/>
      <c r="V68" s="15"/>
      <c r="W68" s="15"/>
      <c r="X68" s="15"/>
      <c r="Y68" s="15"/>
      <c r="Z68" s="15"/>
    </row>
    <row r="69" spans="1:26" ht="12.95" customHeight="1" x14ac:dyDescent="0.25">
      <c r="A69" s="478" t="s">
        <v>235</v>
      </c>
      <c r="B69" s="479">
        <v>8</v>
      </c>
      <c r="C69" s="480"/>
      <c r="D69" s="480"/>
      <c r="E69" s="480"/>
      <c r="F69" s="480"/>
      <c r="G69" s="480"/>
      <c r="H69" s="480"/>
      <c r="I69" s="490" t="str">
        <f t="shared" si="3"/>
        <v xml:space="preserve"> </v>
      </c>
      <c r="J69" s="482"/>
      <c r="K69" s="470"/>
      <c r="L69" s="494"/>
      <c r="M69" s="494"/>
      <c r="N69" s="494"/>
      <c r="O69" s="494"/>
      <c r="P69" s="494"/>
      <c r="Q69" s="494"/>
      <c r="R69" s="494"/>
      <c r="S69" s="494"/>
      <c r="T69" s="15"/>
      <c r="U69" s="15"/>
      <c r="V69" s="15"/>
      <c r="W69" s="15"/>
      <c r="X69" s="15"/>
      <c r="Y69" s="15"/>
      <c r="Z69" s="15"/>
    </row>
    <row r="70" spans="1:26" ht="12.95" customHeight="1" x14ac:dyDescent="0.25">
      <c r="A70" s="492" t="s">
        <v>235</v>
      </c>
      <c r="B70" s="487">
        <v>8</v>
      </c>
      <c r="C70" s="493"/>
      <c r="D70" s="493"/>
      <c r="E70" s="493"/>
      <c r="F70" s="493"/>
      <c r="G70" s="493"/>
      <c r="H70" s="493"/>
      <c r="I70" s="514" t="str">
        <f t="shared" si="3"/>
        <v xml:space="preserve"> </v>
      </c>
      <c r="J70" s="530"/>
      <c r="K70" s="470"/>
      <c r="L70" s="494"/>
      <c r="M70" s="494"/>
      <c r="N70" s="494"/>
      <c r="O70" s="494"/>
      <c r="P70" s="494"/>
      <c r="Q70" s="494"/>
      <c r="R70" s="494"/>
      <c r="S70" s="494"/>
      <c r="T70" s="15"/>
      <c r="U70" s="15"/>
      <c r="V70" s="15"/>
      <c r="W70" s="15"/>
      <c r="X70" s="15"/>
      <c r="Y70" s="15"/>
      <c r="Z70" s="15"/>
    </row>
    <row r="71" spans="1:26" x14ac:dyDescent="0.25">
      <c r="A71" s="466"/>
      <c r="B71" s="466"/>
      <c r="C71" s="466"/>
      <c r="D71" s="466"/>
      <c r="E71" s="466"/>
      <c r="F71" s="466"/>
      <c r="G71" s="466"/>
      <c r="H71" s="466"/>
      <c r="I71" s="466"/>
      <c r="J71" s="466"/>
      <c r="K71" s="4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0"/>
  <sheetViews>
    <sheetView workbookViewId="0"/>
  </sheetViews>
  <sheetFormatPr defaultRowHeight="15" x14ac:dyDescent="0.25"/>
  <cols>
    <col min="1" max="1" width="26.42578125" customWidth="1"/>
  </cols>
  <sheetData>
    <row r="1" spans="1:32" x14ac:dyDescent="0.25">
      <c r="A1" s="305"/>
      <c r="B1" s="379" t="s">
        <v>33</v>
      </c>
      <c r="C1" s="379" t="s">
        <v>36</v>
      </c>
      <c r="D1" s="379" t="s">
        <v>92</v>
      </c>
      <c r="E1" s="379" t="s">
        <v>143</v>
      </c>
      <c r="F1" s="379" t="s">
        <v>37</v>
      </c>
      <c r="G1" s="379" t="s">
        <v>38</v>
      </c>
      <c r="H1" s="383" t="s">
        <v>146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x14ac:dyDescent="0.25">
      <c r="A2" s="382" t="s">
        <v>141</v>
      </c>
      <c r="B2" s="288" t="s">
        <v>140</v>
      </c>
      <c r="C2" s="288" t="s">
        <v>140</v>
      </c>
      <c r="D2" s="288" t="s">
        <v>140</v>
      </c>
      <c r="E2" s="288" t="s">
        <v>140</v>
      </c>
      <c r="F2" s="288" t="s">
        <v>140</v>
      </c>
      <c r="G2" s="288" t="s">
        <v>140</v>
      </c>
      <c r="H2" s="380" t="s">
        <v>147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x14ac:dyDescent="0.25">
      <c r="A3" s="300" t="s">
        <v>107</v>
      </c>
      <c r="B3" s="378">
        <f>MIN(Corn!$B7:$F7,Corn!$H7:$L7)</f>
        <v>0</v>
      </c>
      <c r="C3" s="378">
        <f>MIN(Soybean!$B7:$F7,Soybean!$H7:$L7)</f>
        <v>0</v>
      </c>
      <c r="D3" s="378">
        <f>MIN(Rice_LG!$B7:$F7,Rice_LG!$H7:$L7)</f>
        <v>0</v>
      </c>
      <c r="E3" s="378">
        <f>MIN(Rice_LG!$B7:$F7,Rice_LG!$H7:$L7)</f>
        <v>0</v>
      </c>
      <c r="F3" s="378">
        <f>MIN(Sorghum!$B7:$F7,Sorghum!$H7:$L7)</f>
        <v>0</v>
      </c>
      <c r="G3" s="378">
        <f>MIN(Wheat!$B7:$F7,Wheat!$H7:$L7)</f>
        <v>0</v>
      </c>
      <c r="H3" s="384">
        <v>435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x14ac:dyDescent="0.25">
      <c r="A4" s="381"/>
      <c r="B4" s="302" t="s">
        <v>20</v>
      </c>
      <c r="C4" s="303"/>
      <c r="D4" s="303"/>
      <c r="E4" s="303"/>
      <c r="F4" s="303"/>
      <c r="G4" s="304"/>
      <c r="H4" s="30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x14ac:dyDescent="0.25">
      <c r="A5" s="301" t="s">
        <v>128</v>
      </c>
      <c r="B5" s="372">
        <f>AVERAGE(Corn!$B6:$E6)</f>
        <v>0</v>
      </c>
      <c r="C5" s="372">
        <f>AVERAGE(Soybean!$B6:$E6)</f>
        <v>0</v>
      </c>
      <c r="D5" s="372">
        <f>AVERAGE(Rice_LG!$B6:$E6)</f>
        <v>0</v>
      </c>
      <c r="E5" s="372">
        <f>AVERAGE(Rice_LG!$B6:$E6)</f>
        <v>0</v>
      </c>
      <c r="F5" s="372">
        <f>AVERAGE(Sorghum!$B6:$E6)</f>
        <v>0</v>
      </c>
      <c r="G5" s="372">
        <f>Wheat!F6</f>
        <v>0</v>
      </c>
      <c r="H5" s="374">
        <v>2.5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2" x14ac:dyDescent="0.25">
      <c r="A6" s="381"/>
      <c r="B6" s="302" t="s">
        <v>142</v>
      </c>
      <c r="C6" s="303"/>
      <c r="D6" s="303"/>
      <c r="E6" s="303"/>
      <c r="F6" s="303"/>
      <c r="G6" s="304"/>
      <c r="H6" s="35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x14ac:dyDescent="0.25">
      <c r="A7" s="301" t="s">
        <v>128</v>
      </c>
      <c r="B7" s="372">
        <f>AVERAGE(Corn!$H6:$K6)</f>
        <v>0</v>
      </c>
      <c r="C7" s="372">
        <f>AVERAGE(Soybean!$H6:$K6)</f>
        <v>0</v>
      </c>
      <c r="D7" s="372">
        <f>AVERAGE(Rice_LG!$H6:$K6)</f>
        <v>0</v>
      </c>
      <c r="E7" s="372">
        <f>AVERAGE(Rice_LG!$H6:$K6)</f>
        <v>0</v>
      </c>
      <c r="F7" s="372">
        <f>AVERAGE(Sorghum!$H6:$K6)</f>
        <v>0</v>
      </c>
      <c r="G7" s="373">
        <f>Wheat!L6</f>
        <v>0</v>
      </c>
      <c r="H7" s="374">
        <v>2.5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32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2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:32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:32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:32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32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:32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:32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:32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1:32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1:32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:32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1:32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52"/>
  <sheetViews>
    <sheetView tabSelected="1" workbookViewId="0">
      <selection activeCell="C19" sqref="C19"/>
    </sheetView>
  </sheetViews>
  <sheetFormatPr defaultRowHeight="15" x14ac:dyDescent="0.25"/>
  <cols>
    <col min="1" max="1" width="19.7109375" customWidth="1"/>
    <col min="2" max="2" width="14.7109375" bestFit="1" customWidth="1"/>
    <col min="3" max="3" width="8.85546875" customWidth="1"/>
    <col min="4" max="4" width="10.5703125" bestFit="1" customWidth="1"/>
    <col min="5" max="8" width="8.85546875" customWidth="1"/>
    <col min="9" max="9" width="10.5703125" bestFit="1" customWidth="1"/>
    <col min="10" max="10" width="16.42578125" bestFit="1" customWidth="1"/>
    <col min="11" max="11" width="2.7109375" customWidth="1"/>
  </cols>
  <sheetData>
    <row r="1" spans="1:31" x14ac:dyDescent="0.25">
      <c r="A1" s="65" t="s">
        <v>287</v>
      </c>
      <c r="B1" s="60"/>
      <c r="C1" s="60"/>
      <c r="D1" s="60"/>
      <c r="E1" s="60"/>
      <c r="F1" s="60"/>
      <c r="G1" s="60"/>
      <c r="H1" s="60"/>
      <c r="I1" s="60"/>
      <c r="J1" s="60"/>
      <c r="K1" s="1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x14ac:dyDescent="0.25">
      <c r="A2" s="61" t="s">
        <v>43</v>
      </c>
      <c r="B2" s="589" t="s">
        <v>34</v>
      </c>
      <c r="C2" s="589" t="s">
        <v>33</v>
      </c>
      <c r="D2" s="589" t="s">
        <v>36</v>
      </c>
      <c r="E2" s="589" t="s">
        <v>92</v>
      </c>
      <c r="F2" s="589" t="s">
        <v>143</v>
      </c>
      <c r="G2" s="589" t="s">
        <v>38</v>
      </c>
      <c r="H2" s="589" t="s">
        <v>37</v>
      </c>
      <c r="I2" s="589" t="s">
        <v>146</v>
      </c>
      <c r="J2" s="389" t="s">
        <v>39</v>
      </c>
      <c r="K2" s="1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x14ac:dyDescent="0.25">
      <c r="A3" s="411" t="s">
        <v>347</v>
      </c>
      <c r="B3" s="584">
        <f>SUM(Cotton!B4,Cotton!C4,Cotton!D4,Cotton!E4,Cotton!F4,Cotton!H4,Cotton!I4,Cotton!J4,Cotton!K4,Cotton!L4)</f>
        <v>0</v>
      </c>
      <c r="C3" s="584">
        <f>SUM(Corn!B4,Corn!C4,Corn!D4,Corn!E4,Corn!F4,Corn!H4,Corn!I4,Corn!J4,Corn!K4,Corn!L4)</f>
        <v>0</v>
      </c>
      <c r="D3" s="584">
        <f>SUM(Soybean!B4,Soybean!C4,Soybean!D4,Soybean!E4,Soybean!F4,Soybean!H4,Soybean!I4,Soybean!J4,Soybean!K4,Soybean!L4)</f>
        <v>0</v>
      </c>
      <c r="E3" s="584">
        <f>SUM(Rice_LG!B4,Rice_LG!C4,Rice_LG!D4,Rice_LG!E4,Rice_LG!F4,Rice_LG!H4,Rice_LG!I4,Rice_LG!J4,Rice_LG!K4,Rice_LG!L4)</f>
        <v>0</v>
      </c>
      <c r="F3" s="584">
        <f>SUM(Rice_MG!B4,Rice_MG!C4,Rice_MG!D4,Rice_MG!E4,Rice_MG!F4,Rice_MG!H4,Rice_MG!I4,Rice_MG!J4,Rice_MG!K4,Rice_MG!L4)</f>
        <v>0</v>
      </c>
      <c r="G3" s="584">
        <f>SUM(Wheat!B4,Wheat!C4,Wheat!D4,Wheat!E4,Wheat!F4,Wheat!H4,Wheat!I4,Wheat!J4,Wheat!K4,Wheat!L4)</f>
        <v>0</v>
      </c>
      <c r="H3" s="584">
        <f>SUM(Sorghum!B4,Sorghum!C4,Sorghum!D4,Sorghum!E4,Sorghum!F4,Sorghum!H4,Sorghum!I4,Sorghum!J4,Sorghum!K4,Sorghum!L4)</f>
        <v>0</v>
      </c>
      <c r="I3" s="584">
        <f>SUM(Peanut!B4,Peanut!C4,Peanut!D4,Peanut!E4,Peanut!F4,Peanut!H4,Peanut!I4,Peanut!J4,Peanut!K4,Peanut!L4)</f>
        <v>0</v>
      </c>
      <c r="J3" s="385">
        <f>SUM(B3:I3)</f>
        <v>0</v>
      </c>
      <c r="K3" s="1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x14ac:dyDescent="0.25">
      <c r="A4" s="57" t="s">
        <v>50</v>
      </c>
      <c r="B4" s="585">
        <f>Cotton!M44</f>
        <v>0</v>
      </c>
      <c r="C4" s="585">
        <f>Corn!M44</f>
        <v>0</v>
      </c>
      <c r="D4" s="585">
        <f>Soybean!M44</f>
        <v>0</v>
      </c>
      <c r="E4" s="585">
        <f>Rice_LG!M44</f>
        <v>0</v>
      </c>
      <c r="F4" s="585">
        <f>Rice_MG!M44</f>
        <v>0</v>
      </c>
      <c r="G4" s="585">
        <f>Wheat!M44</f>
        <v>0</v>
      </c>
      <c r="H4" s="585">
        <f>Sorghum!M44</f>
        <v>0</v>
      </c>
      <c r="I4" s="585">
        <f>Peanut!M44</f>
        <v>0</v>
      </c>
      <c r="J4" s="586">
        <f>SUM(B4:I4)</f>
        <v>0</v>
      </c>
      <c r="K4" s="19"/>
      <c r="L4" s="15"/>
      <c r="M4" s="407" t="s">
        <v>346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8" x14ac:dyDescent="0.25">
      <c r="A5" s="62" t="s">
        <v>160</v>
      </c>
      <c r="B5" s="585">
        <f>Cotton!M33</f>
        <v>0</v>
      </c>
      <c r="C5" s="585">
        <f>Corn!M33</f>
        <v>0</v>
      </c>
      <c r="D5" s="585">
        <f>Soybean!M33</f>
        <v>0</v>
      </c>
      <c r="E5" s="585">
        <f>Rice_LG!M33</f>
        <v>0</v>
      </c>
      <c r="F5" s="585">
        <f>Rice_MG!M33</f>
        <v>0</v>
      </c>
      <c r="G5" s="585">
        <f>Wheat!M33</f>
        <v>0</v>
      </c>
      <c r="H5" s="585">
        <f>Sorghum!M33</f>
        <v>0</v>
      </c>
      <c r="I5" s="585">
        <f>Peanut!M33</f>
        <v>0</v>
      </c>
      <c r="J5" s="586">
        <f>SUM(B5:I5)</f>
        <v>0</v>
      </c>
      <c r="K5" s="1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9.9499999999999993" customHeight="1" x14ac:dyDescent="0.25">
      <c r="A6" s="62"/>
      <c r="B6" s="585"/>
      <c r="C6" s="585"/>
      <c r="D6" s="585"/>
      <c r="E6" s="585"/>
      <c r="F6" s="585"/>
      <c r="G6" s="585"/>
      <c r="H6" s="585"/>
      <c r="I6" s="585"/>
      <c r="J6" s="586"/>
      <c r="K6" s="1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5" customHeight="1" x14ac:dyDescent="0.25">
      <c r="A7" s="62" t="s">
        <v>152</v>
      </c>
      <c r="B7" s="585">
        <f>Cotton!M34</f>
        <v>0</v>
      </c>
      <c r="C7" s="585">
        <f>Corn!M34</f>
        <v>0</v>
      </c>
      <c r="D7" s="585">
        <f>Soybean!M34</f>
        <v>0</v>
      </c>
      <c r="E7" s="585">
        <f>Rice_LG!M34</f>
        <v>0</v>
      </c>
      <c r="F7" s="585">
        <f>Rice_MG!M34</f>
        <v>0</v>
      </c>
      <c r="G7" s="585">
        <f>Wheat!M34</f>
        <v>0</v>
      </c>
      <c r="H7" s="585">
        <f>Sorghum!M34</f>
        <v>0</v>
      </c>
      <c r="I7" s="585">
        <f>Peanut!M34</f>
        <v>0</v>
      </c>
      <c r="J7" s="586">
        <f>SUM(B7:I7)</f>
        <v>0</v>
      </c>
      <c r="K7" s="1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15" customHeight="1" x14ac:dyDescent="0.25">
      <c r="A8" s="62" t="s">
        <v>14</v>
      </c>
      <c r="B8" s="585">
        <f>Cotton!M35</f>
        <v>0</v>
      </c>
      <c r="C8" s="585">
        <f>Corn!M35</f>
        <v>0</v>
      </c>
      <c r="D8" s="585">
        <f>Soybean!M35</f>
        <v>0</v>
      </c>
      <c r="E8" s="585">
        <f>Rice_LG!M35</f>
        <v>0</v>
      </c>
      <c r="F8" s="585">
        <f>Rice_MG!M35</f>
        <v>0</v>
      </c>
      <c r="G8" s="585">
        <f>Wheat!M35</f>
        <v>0</v>
      </c>
      <c r="H8" s="585">
        <f>Sorghum!M35</f>
        <v>0</v>
      </c>
      <c r="I8" s="585">
        <f>Peanut!M35</f>
        <v>0</v>
      </c>
      <c r="J8" s="586">
        <f>SUM(B8:I8)</f>
        <v>0</v>
      </c>
      <c r="K8" s="1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x14ac:dyDescent="0.25">
      <c r="A9" s="62" t="s">
        <v>15</v>
      </c>
      <c r="B9" s="585">
        <f>Cotton!M36</f>
        <v>0</v>
      </c>
      <c r="C9" s="585">
        <f>Corn!M36</f>
        <v>0</v>
      </c>
      <c r="D9" s="585">
        <f>Soybean!M36</f>
        <v>0</v>
      </c>
      <c r="E9" s="585">
        <f>Rice_LG!M36</f>
        <v>0</v>
      </c>
      <c r="F9" s="585">
        <f>Rice_MG!M36</f>
        <v>0</v>
      </c>
      <c r="G9" s="585">
        <f>Wheat!M36</f>
        <v>0</v>
      </c>
      <c r="H9" s="585">
        <f>Sorghum!M36</f>
        <v>0</v>
      </c>
      <c r="I9" s="585">
        <f>Peanut!M36</f>
        <v>0</v>
      </c>
      <c r="J9" s="586">
        <f>SUM(B9:I9)</f>
        <v>0</v>
      </c>
      <c r="K9" s="19"/>
      <c r="L9" s="15"/>
      <c r="M9" s="319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9.9499999999999993" customHeight="1" x14ac:dyDescent="0.25">
      <c r="A10" s="63"/>
      <c r="B10" s="585"/>
      <c r="C10" s="585"/>
      <c r="D10" s="585"/>
      <c r="E10" s="585"/>
      <c r="F10" s="585"/>
      <c r="G10" s="585"/>
      <c r="H10" s="585"/>
      <c r="I10" s="585"/>
      <c r="J10" s="586"/>
      <c r="K10" s="1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30" x14ac:dyDescent="0.25">
      <c r="A11" s="533" t="s">
        <v>45</v>
      </c>
      <c r="B11" s="587">
        <f t="shared" ref="B11:I11" si="0">B5-B9</f>
        <v>0</v>
      </c>
      <c r="C11" s="587">
        <f t="shared" si="0"/>
        <v>0</v>
      </c>
      <c r="D11" s="587">
        <f t="shared" si="0"/>
        <v>0</v>
      </c>
      <c r="E11" s="587">
        <f t="shared" si="0"/>
        <v>0</v>
      </c>
      <c r="F11" s="587">
        <f t="shared" si="0"/>
        <v>0</v>
      </c>
      <c r="G11" s="587">
        <f t="shared" si="0"/>
        <v>0</v>
      </c>
      <c r="H11" s="587">
        <f t="shared" si="0"/>
        <v>0</v>
      </c>
      <c r="I11" s="587">
        <f t="shared" si="0"/>
        <v>0</v>
      </c>
      <c r="J11" s="588">
        <f>SUM(B11:I11)</f>
        <v>0</v>
      </c>
      <c r="K11" s="1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x14ac:dyDescent="0.25">
      <c r="A12" s="64"/>
      <c r="B12" s="130"/>
      <c r="C12" s="130"/>
      <c r="D12" s="130"/>
      <c r="E12" s="130"/>
      <c r="F12" s="130"/>
      <c r="G12" s="130"/>
      <c r="H12" s="130"/>
      <c r="I12" s="130"/>
      <c r="J12" s="386"/>
      <c r="K12" s="1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18" x14ac:dyDescent="0.25">
      <c r="A13" s="388" t="s">
        <v>163</v>
      </c>
      <c r="B13" s="130"/>
      <c r="C13" s="130"/>
      <c r="D13" s="130"/>
      <c r="E13" s="130"/>
      <c r="F13" s="130"/>
      <c r="G13" s="130"/>
      <c r="H13" s="130"/>
      <c r="I13" s="130"/>
      <c r="J13" s="386"/>
      <c r="K13" s="1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9.9499999999999993" customHeight="1" x14ac:dyDescent="0.25">
      <c r="A14" s="534"/>
      <c r="B14" s="60"/>
      <c r="C14" s="60"/>
      <c r="D14" s="60"/>
      <c r="E14" s="60"/>
      <c r="F14" s="60"/>
      <c r="G14" s="60"/>
      <c r="H14" s="60"/>
      <c r="I14" s="60"/>
      <c r="J14" s="60"/>
      <c r="K14" s="1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x14ac:dyDescent="0.25">
      <c r="A15" s="61" t="s">
        <v>43</v>
      </c>
      <c r="B15" s="61" t="str">
        <f t="shared" ref="B15:J15" si="1">B2</f>
        <v>Cotton</v>
      </c>
      <c r="C15" s="61" t="str">
        <f t="shared" si="1"/>
        <v>Corn</v>
      </c>
      <c r="D15" s="61" t="str">
        <f t="shared" si="1"/>
        <v>Soybean</v>
      </c>
      <c r="E15" s="61" t="str">
        <f t="shared" si="1"/>
        <v>Rice, LG</v>
      </c>
      <c r="F15" s="61" t="str">
        <f t="shared" si="1"/>
        <v>Rice, MG</v>
      </c>
      <c r="G15" s="61" t="str">
        <f t="shared" si="1"/>
        <v>Wheat</v>
      </c>
      <c r="H15" s="61" t="str">
        <f t="shared" si="1"/>
        <v>Sorghum</v>
      </c>
      <c r="I15" s="61" t="str">
        <f t="shared" si="1"/>
        <v>Peanut</v>
      </c>
      <c r="J15" s="389" t="str">
        <f t="shared" si="1"/>
        <v>Total</v>
      </c>
      <c r="K15" s="1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x14ac:dyDescent="0.25">
      <c r="A16" s="535" t="s">
        <v>10</v>
      </c>
      <c r="B16" s="536">
        <f>Cotton!M43</f>
        <v>0</v>
      </c>
      <c r="C16" s="536">
        <f>Corn!M43</f>
        <v>0</v>
      </c>
      <c r="D16" s="536">
        <f>Soybean!M43</f>
        <v>0</v>
      </c>
      <c r="E16" s="536">
        <f>Rice_LG!M43</f>
        <v>0</v>
      </c>
      <c r="F16" s="536">
        <f>Rice_MG!M43</f>
        <v>0</v>
      </c>
      <c r="G16" s="536">
        <f>Wheat!M43</f>
        <v>0</v>
      </c>
      <c r="H16" s="536">
        <f>Sorghum!M43</f>
        <v>0</v>
      </c>
      <c r="I16" s="536">
        <f>Peanut!M43</f>
        <v>0</v>
      </c>
      <c r="J16" s="537">
        <f>SUM(B16:I16)</f>
        <v>0</v>
      </c>
      <c r="K16" s="1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style="41" customWidth="1"/>
    <col min="8" max="13" width="8.85546875" customWidth="1"/>
  </cols>
  <sheetData>
    <row r="1" spans="1:29" x14ac:dyDescent="0.25">
      <c r="A1" s="564" t="s">
        <v>34</v>
      </c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x14ac:dyDescent="0.25">
      <c r="A2" s="35" t="s">
        <v>24</v>
      </c>
      <c r="B2" s="25" t="s">
        <v>23</v>
      </c>
      <c r="C2" s="25"/>
      <c r="D2" s="26" t="s">
        <v>26</v>
      </c>
      <c r="E2" s="26"/>
      <c r="F2" s="27" t="s">
        <v>28</v>
      </c>
      <c r="G2" s="29"/>
      <c r="H2" s="25" t="s">
        <v>23</v>
      </c>
      <c r="I2" s="25"/>
      <c r="J2" s="26" t="s">
        <v>26</v>
      </c>
      <c r="K2" s="26"/>
      <c r="L2" s="28" t="s">
        <v>28</v>
      </c>
      <c r="M2" s="431" t="s">
        <v>23</v>
      </c>
      <c r="N2" s="25"/>
      <c r="O2" s="26" t="s">
        <v>26</v>
      </c>
      <c r="P2" s="26"/>
      <c r="Q2" s="106" t="s">
        <v>28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27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27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0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578" t="s">
        <v>344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578" t="s">
        <v>345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579" t="s">
        <v>58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39">
        <v>0.75</v>
      </c>
      <c r="I8" s="23">
        <v>0.75</v>
      </c>
      <c r="J8" s="23">
        <v>0.75</v>
      </c>
      <c r="K8" s="23">
        <v>0.75</v>
      </c>
      <c r="L8" s="54">
        <v>0.75</v>
      </c>
      <c r="M8" s="437"/>
      <c r="N8" s="131"/>
      <c r="O8" s="88"/>
      <c r="P8" s="88"/>
      <c r="Q8" s="111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18" x14ac:dyDescent="0.25">
      <c r="A9" s="580" t="s">
        <v>159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5"/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438"/>
      <c r="N9" s="132"/>
      <c r="O9" s="132"/>
      <c r="P9" s="132"/>
      <c r="Q9" s="133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581" t="s">
        <v>334</v>
      </c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IF(B$4&gt;0,X_Cotton!B11,0)</f>
        <v>0</v>
      </c>
      <c r="C11" s="314">
        <f>IF(C$4&gt;0,X_Cotton!C11,0)</f>
        <v>0</v>
      </c>
      <c r="D11" s="314">
        <f>IF(D$4&gt;0,X_Cotton!D11,0)</f>
        <v>0</v>
      </c>
      <c r="E11" s="314">
        <f>IF(E$4&gt;0,X_Cotton!E11,0)</f>
        <v>0</v>
      </c>
      <c r="F11" s="314">
        <f>IF(F$4&gt;0,X_Cotton!F11,0)</f>
        <v>0</v>
      </c>
      <c r="G11" s="5"/>
      <c r="H11" s="314">
        <f>IF(H$4&gt;0,X_Cotton!H11,0)*Cotton!M11</f>
        <v>0</v>
      </c>
      <c r="I11" s="314">
        <f>IF(I$4&gt;0,X_Cotton!I11,0)*Cotton!N11</f>
        <v>0</v>
      </c>
      <c r="J11" s="314">
        <f>IF(J$4&gt;0,X_Cotton!J11,0)*Cotton!O11</f>
        <v>0</v>
      </c>
      <c r="K11" s="314">
        <f>IF(K$4&gt;0,X_Cotton!K11,0)*Cotton!P11</f>
        <v>0</v>
      </c>
      <c r="L11" s="314">
        <f>IF(L$4&gt;0,X_Cotton!L11,0)*Cotton!Q11</f>
        <v>0</v>
      </c>
      <c r="M11" s="439">
        <v>1</v>
      </c>
      <c r="N11" s="118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IF(B$4&gt;0,X_Cotton!B12,0)</f>
        <v>0</v>
      </c>
      <c r="C12" s="314">
        <f>IF(C$4&gt;0,X_Cotton!C12,0)</f>
        <v>0</v>
      </c>
      <c r="D12" s="314">
        <f>IF(D$4&gt;0,X_Cotton!D12,0)</f>
        <v>0</v>
      </c>
      <c r="E12" s="314">
        <f>IF(E$4&gt;0,X_Cotton!E12,0)</f>
        <v>0</v>
      </c>
      <c r="F12" s="314">
        <f>IF(F$4&gt;0,X_Cotton!F12,0)</f>
        <v>0</v>
      </c>
      <c r="G12" s="5"/>
      <c r="H12" s="314">
        <f>IF(H$4&gt;0,X_Cotton!H12,0)*Cotton!M12</f>
        <v>0</v>
      </c>
      <c r="I12" s="314">
        <f>IF(I$4&gt;0,X_Cotton!I12,0)*Cotton!N12</f>
        <v>0</v>
      </c>
      <c r="J12" s="314">
        <f>IF(J$4&gt;0,X_Cotton!J12,0)*Cotton!O12</f>
        <v>0</v>
      </c>
      <c r="K12" s="314">
        <f>IF(K$4&gt;0,X_Cotton!K12,0)*Cotton!P12</f>
        <v>0</v>
      </c>
      <c r="L12" s="314">
        <f>IF(L$4&gt;0,X_Cotton!L12,0)*Cotton!Q12</f>
        <v>0</v>
      </c>
      <c r="M12" s="439">
        <v>1</v>
      </c>
      <c r="N12" s="118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IF(B$4&gt;0,X_Cotton!B13,0)</f>
        <v>0</v>
      </c>
      <c r="C13" s="314">
        <f>IF(C$4&gt;0,X_Cotton!C13,0)</f>
        <v>0</v>
      </c>
      <c r="D13" s="314">
        <f>IF(D$4&gt;0,X_Cotton!D13,0)</f>
        <v>0</v>
      </c>
      <c r="E13" s="314">
        <f>IF(E$4&gt;0,X_Cotton!E13,0)</f>
        <v>0</v>
      </c>
      <c r="F13" s="314">
        <f>IF(F$4&gt;0,X_Cotton!F13,0)</f>
        <v>0</v>
      </c>
      <c r="G13" s="5"/>
      <c r="H13" s="314">
        <f>IF(H$4&gt;0,X_Cotton!H13,0)*Cotton!M13</f>
        <v>0</v>
      </c>
      <c r="I13" s="314">
        <f>IF(I$4&gt;0,X_Cotton!I13,0)*Cotton!N13</f>
        <v>0</v>
      </c>
      <c r="J13" s="314">
        <f>IF(J$4&gt;0,X_Cotton!J13,0)*Cotton!O13</f>
        <v>0</v>
      </c>
      <c r="K13" s="314">
        <f>IF(K$4&gt;0,X_Cotton!K13,0)*Cotton!P13</f>
        <v>0</v>
      </c>
      <c r="L13" s="314">
        <f>IF(L$4&gt;0,X_Cotton!L13,0)*Cotton!Q13</f>
        <v>0</v>
      </c>
      <c r="M13" s="439">
        <v>1</v>
      </c>
      <c r="N13" s="118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IF(B$4&gt;0,X_Cotton!B14,0)</f>
        <v>0</v>
      </c>
      <c r="C14" s="314">
        <f>IF(C$4&gt;0,X_Cotton!C14,0)</f>
        <v>0</v>
      </c>
      <c r="D14" s="314">
        <f>IF(D$4&gt;0,X_Cotton!D14,0)</f>
        <v>0</v>
      </c>
      <c r="E14" s="314">
        <f>IF(E$4&gt;0,X_Cotton!E14,0)</f>
        <v>0</v>
      </c>
      <c r="F14" s="314">
        <f>IF(F$4&gt;0,X_Cotton!F14,0)</f>
        <v>0</v>
      </c>
      <c r="G14" s="5"/>
      <c r="H14" s="314">
        <f>IF(H$4&gt;0,X_Cotton!H14,0)*Cotton!M14</f>
        <v>0</v>
      </c>
      <c r="I14" s="314">
        <f>IF(I$4&gt;0,X_Cotton!I14,0)*Cotton!N14</f>
        <v>0</v>
      </c>
      <c r="J14" s="314">
        <f>IF(J$4&gt;0,X_Cotton!J14,0)*Cotton!O14</f>
        <v>0</v>
      </c>
      <c r="K14" s="314">
        <f>IF(K$4&gt;0,X_Cotton!K14,0)*Cotton!P14</f>
        <v>0</v>
      </c>
      <c r="L14" s="314">
        <f>IF(L$4&gt;0,X_Cotton!L14,0)*Cotton!Q14</f>
        <v>0</v>
      </c>
      <c r="M14" s="439">
        <v>1</v>
      </c>
      <c r="N14" s="118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IF(B$4&gt;0,X_Cotton!B15,0)</f>
        <v>0</v>
      </c>
      <c r="C15" s="314">
        <f>IF(C$4&gt;0,X_Cotton!C15,0)</f>
        <v>0</v>
      </c>
      <c r="D15" s="314">
        <f>IF(D$4&gt;0,X_Cotton!D15,0)</f>
        <v>0</v>
      </c>
      <c r="E15" s="314">
        <f>IF(E$4&gt;0,X_Cotton!E15,0)</f>
        <v>0</v>
      </c>
      <c r="F15" s="314">
        <f>IF(F$4&gt;0,X_Cotton!F15,0)</f>
        <v>0</v>
      </c>
      <c r="G15" s="5"/>
      <c r="H15" s="314">
        <f>IF(H$4&gt;0,X_Cotton!H15,0)*Cotton!M15</f>
        <v>0</v>
      </c>
      <c r="I15" s="314">
        <f>IF(I$4&gt;0,X_Cotton!I15,0)*Cotton!N15</f>
        <v>0</v>
      </c>
      <c r="J15" s="314">
        <f>IF(J$4&gt;0,X_Cotton!J15,0)*Cotton!O15</f>
        <v>0</v>
      </c>
      <c r="K15" s="314">
        <f>IF(K$4&gt;0,X_Cotton!K15,0)*Cotton!P15</f>
        <v>0</v>
      </c>
      <c r="L15" s="314">
        <f>IF(L$4&gt;0,X_Cotton!L15,0)*Cotton!Q15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IF(B$4&gt;0,X_Cotton!B16,0)</f>
        <v>0</v>
      </c>
      <c r="C16" s="314">
        <f>IF(C$4&gt;0,X_Cotton!C16,0)</f>
        <v>0</v>
      </c>
      <c r="D16" s="314">
        <f>IF(D$4&gt;0,X_Cotton!D16,0)</f>
        <v>0</v>
      </c>
      <c r="E16" s="314">
        <f>IF(E$4&gt;0,X_Cotton!E16,0)</f>
        <v>0</v>
      </c>
      <c r="F16" s="314">
        <f>IF(F$4&gt;0,X_Cotton!F16,0)</f>
        <v>0</v>
      </c>
      <c r="G16" s="5"/>
      <c r="H16" s="314">
        <f>IF(H$4&gt;0,X_Cotton!H16,0)*Cotton!M16</f>
        <v>0</v>
      </c>
      <c r="I16" s="314">
        <f>IF(I$4&gt;0,X_Cotton!I16,0)*Cotton!N16</f>
        <v>0</v>
      </c>
      <c r="J16" s="314">
        <f>IF(J$4&gt;0,X_Cotton!J16,0)*Cotton!O16</f>
        <v>0</v>
      </c>
      <c r="K16" s="314">
        <f>IF(K$4&gt;0,X_Cotton!K16,0)*Cotton!P16</f>
        <v>0</v>
      </c>
      <c r="L16" s="314">
        <f>IF(L$4&gt;0,X_Cotton!L16,0)*Cotton!Q16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IF(B$4&gt;0,X_Cotton!B17,0)</f>
        <v>0</v>
      </c>
      <c r="C17" s="314">
        <f>IF(C$4&gt;0,X_Cotton!C17,0)</f>
        <v>0</v>
      </c>
      <c r="D17" s="314">
        <f>IF(D$4&gt;0,X_Cotton!D17,0)</f>
        <v>0</v>
      </c>
      <c r="E17" s="314">
        <f>IF(E$4&gt;0,X_Cotton!E17,0)</f>
        <v>0</v>
      </c>
      <c r="F17" s="314">
        <f>IF(F$4&gt;0,X_Cotton!F17,0)</f>
        <v>0</v>
      </c>
      <c r="G17" s="5"/>
      <c r="H17" s="314">
        <f>IF(H$4&gt;0,X_Cotton!H17,0)*Cotton!M17</f>
        <v>0</v>
      </c>
      <c r="I17" s="314">
        <f>IF(I$4&gt;0,X_Cotton!I17,0)*Cotton!N17</f>
        <v>0</v>
      </c>
      <c r="J17" s="314">
        <f>IF(J$4&gt;0,X_Cotton!J17,0)*Cotton!O17</f>
        <v>0</v>
      </c>
      <c r="K17" s="314">
        <f>IF(K$4&gt;0,X_Cotton!K17,0)*Cotton!P17</f>
        <v>0</v>
      </c>
      <c r="L17" s="314">
        <f>IF(L$4&gt;0,X_Cotton!L17,0)*Cotton!Q17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IF(B$4&gt;0,X_Cotton!B18,0)</f>
        <v>0</v>
      </c>
      <c r="C18" s="314">
        <f>IF(C$4&gt;0,X_Cotton!C18,0)</f>
        <v>0</v>
      </c>
      <c r="D18" s="314">
        <f>IF(D$4&gt;0,X_Cotton!D18,0)</f>
        <v>0</v>
      </c>
      <c r="E18" s="314">
        <f>IF(E$4&gt;0,X_Cotton!E18,0)</f>
        <v>0</v>
      </c>
      <c r="F18" s="314">
        <f>IF(F$4&gt;0,X_Cotton!F18,0)</f>
        <v>0</v>
      </c>
      <c r="G18" s="5"/>
      <c r="H18" s="314">
        <f>IF(H$4&gt;0,X_Cotton!H18,0)*Cotton!M18</f>
        <v>0</v>
      </c>
      <c r="I18" s="314">
        <f>IF(I$4&gt;0,X_Cotton!I18,0)*Cotton!N18</f>
        <v>0</v>
      </c>
      <c r="J18" s="314">
        <f>IF(J$4&gt;0,X_Cotton!J18,0)*Cotton!O18</f>
        <v>0</v>
      </c>
      <c r="K18" s="314">
        <f>IF(K$4&gt;0,X_Cotton!K18,0)*Cotton!P18</f>
        <v>0</v>
      </c>
      <c r="L18" s="314">
        <f>IF(L$4&gt;0,X_Cotton!L18,0)*Cotton!Q18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IF(B$4&gt;0,X_Cotton!B19,0)</f>
        <v>0</v>
      </c>
      <c r="C19" s="314">
        <f>IF(C$4&gt;0,X_Cotton!C19,0)</f>
        <v>0</v>
      </c>
      <c r="D19" s="314">
        <f>IF(D$4&gt;0,X_Cotton!D19,0)</f>
        <v>0</v>
      </c>
      <c r="E19" s="314">
        <f>IF(E$4&gt;0,X_Cotton!E19,0)</f>
        <v>0</v>
      </c>
      <c r="F19" s="314">
        <f>IF(F$4&gt;0,X_Cotton!F19,0)</f>
        <v>0</v>
      </c>
      <c r="G19" s="5"/>
      <c r="H19" s="314">
        <f>IF(H$4&gt;0,X_Cotton!H19,0)*Cotton!M19</f>
        <v>0</v>
      </c>
      <c r="I19" s="314">
        <f>IF(I$4&gt;0,X_Cotton!I19,0)*Cotton!N19</f>
        <v>0</v>
      </c>
      <c r="J19" s="314">
        <f>IF(J$4&gt;0,X_Cotton!J19,0)*Cotton!O19</f>
        <v>0</v>
      </c>
      <c r="K19" s="314">
        <f>IF(K$4&gt;0,X_Cotton!K19,0)*Cotton!P19</f>
        <v>0</v>
      </c>
      <c r="L19" s="314">
        <f>IF(L$4&gt;0,X_Cotton!L19,0)*Cotton!Q19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IF(B$4&gt;0,X_Cotton!B20,0)</f>
        <v>0</v>
      </c>
      <c r="C20" s="314">
        <f>IF(C$4&gt;0,X_Cotton!C20,0)</f>
        <v>0</v>
      </c>
      <c r="D20" s="314">
        <f>IF(D$4&gt;0,X_Cotton!D20,0)</f>
        <v>0</v>
      </c>
      <c r="E20" s="314">
        <f>IF(E$4&gt;0,X_Cotton!E20,0)</f>
        <v>0</v>
      </c>
      <c r="F20" s="314">
        <f>IF(F$4&gt;0,X_Cotton!F20,0)</f>
        <v>0</v>
      </c>
      <c r="G20" s="5"/>
      <c r="H20" s="314">
        <f>IF(H$4&gt;0,X_Cotton!H20,0)*Cotton!M20</f>
        <v>0</v>
      </c>
      <c r="I20" s="314">
        <f>IF(I$4&gt;0,X_Cotton!I20,0)*Cotton!N20</f>
        <v>0</v>
      </c>
      <c r="J20" s="314">
        <f>IF(J$4&gt;0,X_Cotton!J20,0)*Cotton!O20</f>
        <v>0</v>
      </c>
      <c r="K20" s="314">
        <f>IF(K$4&gt;0,X_Cotton!K20,0)*Cotton!P20</f>
        <v>0</v>
      </c>
      <c r="L20" s="314">
        <f>IF(L$4&gt;0,X_Cotton!L20,0)*Cotton!Q20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IF(B$4&gt;0,X_Cotton!B21,0)</f>
        <v>0</v>
      </c>
      <c r="C21" s="314">
        <f>IF(C$4&gt;0,X_Cotton!C21,0)</f>
        <v>0</v>
      </c>
      <c r="D21" s="314">
        <f>IF(D$4&gt;0,X_Cotton!D21,0)</f>
        <v>0</v>
      </c>
      <c r="E21" s="314">
        <f>IF(E$4&gt;0,X_Cotton!E21,0)</f>
        <v>0</v>
      </c>
      <c r="F21" s="314">
        <f>IF(F$4&gt;0,X_Cotton!F21,0)</f>
        <v>0</v>
      </c>
      <c r="G21" s="5"/>
      <c r="H21" s="314">
        <f>IF(H$4&gt;0,X_Cotton!H21,0)*Cotton!M21</f>
        <v>0</v>
      </c>
      <c r="I21" s="314">
        <f>IF(I$4&gt;0,X_Cotton!I21,0)*Cotton!N21</f>
        <v>0</v>
      </c>
      <c r="J21" s="314">
        <f>IF(J$4&gt;0,X_Cotton!J21,0)*Cotton!O21</f>
        <v>0</v>
      </c>
      <c r="K21" s="314">
        <f>IF(K$4&gt;0,X_Cotton!K21,0)*Cotton!P21</f>
        <v>0</v>
      </c>
      <c r="L21" s="314">
        <f>IF(L$4&gt;0,X_Cotton!L21,0)*Cotton!Q21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IF(B$4&gt;0,X_Cotton!B23,0)</f>
        <v>0</v>
      </c>
      <c r="C23" s="314">
        <f>IF(C$4&gt;0,X_Cotton!C23,0)</f>
        <v>0</v>
      </c>
      <c r="D23" s="314">
        <f>IF(D$4&gt;0,X_Cotton!D23,0)</f>
        <v>0</v>
      </c>
      <c r="E23" s="314">
        <f>IF(E$4&gt;0,X_Cotton!E23,0)</f>
        <v>0</v>
      </c>
      <c r="F23" s="314">
        <f>IF(F$4&gt;0,X_Cotton!F23,0)</f>
        <v>0</v>
      </c>
      <c r="G23" s="5"/>
      <c r="H23" s="314">
        <f>IF(H$4&gt;0,X_Cotton!H23,0)*Cotton!M23</f>
        <v>0</v>
      </c>
      <c r="I23" s="314">
        <f>IF(I$4&gt;0,X_Cotton!I23,0)*Cotton!N23</f>
        <v>0</v>
      </c>
      <c r="J23" s="314">
        <f>IF(J$4&gt;0,X_Cotton!J23,0)*Cotton!O23</f>
        <v>0</v>
      </c>
      <c r="K23" s="314">
        <f>IF(K$4&gt;0,X_Cotton!K23,0)*Cotton!P23</f>
        <v>0</v>
      </c>
      <c r="L23" s="314">
        <f>IF(L$4&gt;0,X_Cotton!L23,0)*Cotton!Q23</f>
        <v>0</v>
      </c>
      <c r="M23" s="440">
        <v>1</v>
      </c>
      <c r="N23" s="403">
        <v>1</v>
      </c>
      <c r="O23" s="403">
        <v>1</v>
      </c>
      <c r="P23" s="403">
        <v>1</v>
      </c>
      <c r="Q23" s="404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IF(B$4&gt;0,(X_Cotton!B24/X_Cotton!B$6)*B$6,0)</f>
        <v>0</v>
      </c>
      <c r="C24" s="314">
        <f>IF(C$4&gt;0,(X_Cotton!C24/X_Cotton!C$6)*C$6,0)</f>
        <v>0</v>
      </c>
      <c r="D24" s="314">
        <f>IF(D$4&gt;0,(X_Cotton!D24/X_Cotton!D$6)*D$6,0)</f>
        <v>0</v>
      </c>
      <c r="E24" s="314">
        <f>IF(E$4&gt;0,(X_Cotton!E24/X_Cotton!E$6)*E$6,0)</f>
        <v>0</v>
      </c>
      <c r="F24" s="314">
        <f>IF(F$4&gt;0,(X_Cotton!F24/X_Cotton!F$6)*F$6,0)</f>
        <v>0</v>
      </c>
      <c r="G24" s="5"/>
      <c r="H24" s="314">
        <f>IF(H$4&gt;0,(X_Cotton!H24/X_Cotton!H$6)*H$6,0)*Cotton!M24</f>
        <v>0</v>
      </c>
      <c r="I24" s="314">
        <f>IF(I$4&gt;0,(X_Cotton!I24/X_Cotton!I$6)*I$6,0)*Cotton!N24</f>
        <v>0</v>
      </c>
      <c r="J24" s="314">
        <f>IF(J$4&gt;0,(X_Cotton!J24/X_Cotton!J$6)*J$6,0)*Cotton!O24</f>
        <v>0</v>
      </c>
      <c r="K24" s="314">
        <f>IF(K$4&gt;0,(X_Cotton!K24/X_Cotton!K$6)*K$6,0)*Cotton!P24</f>
        <v>0</v>
      </c>
      <c r="L24" s="314">
        <f>IF(L$4&gt;0,(X_Cotton!L24/X_Cotton!L$6)*L$6,0)*Cotton!Q24</f>
        <v>0</v>
      </c>
      <c r="M24" s="440">
        <v>1</v>
      </c>
      <c r="N24" s="403">
        <v>1</v>
      </c>
      <c r="O24" s="403">
        <v>1</v>
      </c>
      <c r="P24" s="403">
        <v>1</v>
      </c>
      <c r="Q24" s="404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IF(B4&gt;0,((B6/500)*((1+2.2)+(0.005*500*B7)))*1,0)</f>
        <v>0</v>
      </c>
      <c r="C25" s="314">
        <f t="shared" ref="C25:F25" si="0">IF(C4&gt;0,((C6/500)*((1+2.2)+(0.005*500*C7)))*1,0)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IF(H4&gt;0,((H6/500)*((1+2.2)+(0.005*500*H7)))*1,0)*Cotton!M25</f>
        <v>0</v>
      </c>
      <c r="I25" s="314">
        <f>IF(I4&gt;0,((I6/500)*((1+2.2)+(0.005*500*I7)))*1,0)*Cotton!N25</f>
        <v>0</v>
      </c>
      <c r="J25" s="314">
        <f>IF(J4&gt;0,((J6/500)*((1+2.2)+(0.005*500*J7)))*1,0)*Cotton!O25</f>
        <v>0</v>
      </c>
      <c r="K25" s="314">
        <f>IF(K4&gt;0,((K6/500)*((1+2.2)+(0.005*500*K7)))*1,0)*Cotton!P25</f>
        <v>0</v>
      </c>
      <c r="L25" s="314">
        <f>IF(L4&gt;0,((L6/500)*((1+2.2)+(0.005*500*L7)))*1,0)*Cotton!Q25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IF(B$4&gt;0,X_Cotton!B26,0)</f>
        <v>0</v>
      </c>
      <c r="C26" s="191">
        <f>IF(C$4&gt;0,X_Cotton!C26,0)</f>
        <v>0</v>
      </c>
      <c r="D26" s="191">
        <f>IF(D$4&gt;0,X_Cotton!D26,0)</f>
        <v>0</v>
      </c>
      <c r="E26" s="191">
        <f>IF(E$4&gt;0,X_Cotton!E26,0)</f>
        <v>0</v>
      </c>
      <c r="F26" s="191">
        <f>IF(F$4&gt;0,X_Cotton!F26,0)</f>
        <v>0</v>
      </c>
      <c r="G26" s="5"/>
      <c r="H26" s="270">
        <f>IF(H$4&gt;0,X_Cotton!H26,0)</f>
        <v>0</v>
      </c>
      <c r="I26" s="270">
        <f>IF(I$4&gt;0,X_Cotton!I26,0)</f>
        <v>0</v>
      </c>
      <c r="J26" s="562">
        <f>IF(J$4&gt;0,X_Cotton!J26,0)</f>
        <v>0</v>
      </c>
      <c r="K26" s="562">
        <f>IF(K$4&gt;0,X_Cotton!K26,0)</f>
        <v>0</v>
      </c>
      <c r="L26" s="563">
        <f>IF(L$4&gt;0,X_Cotton!L26,0)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IF(B$4&gt;0,X_Cotton!B28,0)</f>
        <v>0</v>
      </c>
      <c r="C28" s="314">
        <f>IF(C$4&gt;0,X_Cotton!C28,0)</f>
        <v>0</v>
      </c>
      <c r="D28" s="314">
        <f>IF(D$4&gt;0,X_Cotton!D28,0)</f>
        <v>0</v>
      </c>
      <c r="E28" s="314">
        <f>IF(E$4&gt;0,X_Cotton!E28,0)</f>
        <v>0</v>
      </c>
      <c r="F28" s="314">
        <f>IF(F$4&gt;0,X_Cotton!F28,0)</f>
        <v>0</v>
      </c>
      <c r="G28" s="5"/>
      <c r="H28" s="314">
        <f>IF(H$4&gt;0,X_Cotton!H28,0)</f>
        <v>0</v>
      </c>
      <c r="I28" s="314">
        <f>IF(I$4&gt;0,X_Cotton!I28,0)</f>
        <v>0</v>
      </c>
      <c r="J28" s="314">
        <f>IF(J$4&gt;0,X_Cotton!J28,0)</f>
        <v>0</v>
      </c>
      <c r="K28" s="314">
        <f>IF(K$4&gt;0,X_Cotton!K28,0)</f>
        <v>0</v>
      </c>
      <c r="L28" s="314">
        <f>IF(L$4&gt;0,X_Cotton!L28,0)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IF(B$4&gt;0,X_Cotton!B29,0)</f>
        <v>0</v>
      </c>
      <c r="C29" s="314">
        <f>IF(C$4&gt;0,X_Cotton!C29,0)</f>
        <v>0</v>
      </c>
      <c r="D29" s="314">
        <f>IF(D$4&gt;0,X_Cotton!D29,0)</f>
        <v>0</v>
      </c>
      <c r="E29" s="314">
        <f>IF(E$4&gt;0,X_Cotton!E29,0)</f>
        <v>0</v>
      </c>
      <c r="F29" s="314">
        <f>IF(F$4&gt;0,X_Cotton!F29,0)</f>
        <v>0</v>
      </c>
      <c r="G29" s="5"/>
      <c r="H29" s="314">
        <f>IF(H$4&gt;0,X_Cotton!H29,0)</f>
        <v>0</v>
      </c>
      <c r="I29" s="314">
        <f>IF(I$4&gt;0,X_Cotton!I29,0)</f>
        <v>0</v>
      </c>
      <c r="J29" s="314">
        <f>IF(J$4&gt;0,X_Cotton!J29,0)</f>
        <v>0</v>
      </c>
      <c r="K29" s="314">
        <f>IF(K$4&gt;0,X_Cotton!K29,0)</f>
        <v>0</v>
      </c>
      <c r="L29" s="314">
        <f>IF(L$4&gt;0,X_Cotton!L29,0)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IF(B$4&gt;0,X_Cotton!B30,0)</f>
        <v>0</v>
      </c>
      <c r="C30" s="314">
        <f>IF(C$4&gt;0,X_Cotton!C30,0)</f>
        <v>0</v>
      </c>
      <c r="D30" s="314">
        <f>IF(D$4&gt;0,X_Cotton!D30,0)</f>
        <v>0</v>
      </c>
      <c r="E30" s="314">
        <f>IF(E$4&gt;0,X_Cotton!E30,0)</f>
        <v>0</v>
      </c>
      <c r="F30" s="314">
        <f>IF(F$4&gt;0,X_Cotton!F30,0)</f>
        <v>0</v>
      </c>
      <c r="G30" s="5"/>
      <c r="H30" s="314">
        <f>IF(H$4&gt;0,X_Cotton!H30,0)</f>
        <v>0</v>
      </c>
      <c r="I30" s="314">
        <f>IF(I$4&gt;0,X_Cotton!I30,0)</f>
        <v>0</v>
      </c>
      <c r="J30" s="314">
        <f>IF(J$4&gt;0,X_Cotton!J30,0)</f>
        <v>0</v>
      </c>
      <c r="K30" s="314">
        <f>IF(K$4&gt;0,X_Cotton!K30,0)</f>
        <v>0</v>
      </c>
      <c r="L30" s="314">
        <f>IF(L$4&gt;0,X_Cotton!L30,0)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((X_Cotton!B32*0.2*B4)/1000)*'Farm Costs &amp; Returns'!$I$13</f>
        <v>0</v>
      </c>
      <c r="C32" s="315">
        <f>((X_Cotton!C32*0.2*C4)/1000)*'Farm Costs &amp; Returns'!$I$13</f>
        <v>0</v>
      </c>
      <c r="D32" s="315">
        <f>((X_Cotton!D32*0.2*D4)/1000)*'Farm Costs &amp; Returns'!$I$13</f>
        <v>0</v>
      </c>
      <c r="E32" s="315">
        <f>((X_Cotton!E32*0.2*E4)/1000)*'Farm Costs &amp; Returns'!$I$13</f>
        <v>0</v>
      </c>
      <c r="F32" s="315">
        <f>((X_Cotton!F32*0.2*F4)/1000)*'Farm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(B4*(SUM(B11:B21)+SUM(B22:B25)))-IF(B4&gt;0,IF(B9&gt;0,B4*B8*B9*(B6/500),SUM(B24:B25)*B4),0)</f>
        <v>0</v>
      </c>
      <c r="C36" s="315">
        <f t="shared" ref="C36:F36" si="8">(C4*(SUM(C11:C21)+SUM(C22:C25)))-IF(C4&gt;0,IF(C9&gt;0,C4*C8*C9*(C6/500),SUM(C24:C25)*C4),0)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(H4*(SUM(H11:H21)+SUM(H22:H25)))-IF(H4&gt;0,IF(H9&gt;0,H4*H8*H9*(H6/500),SUM(H24:H25)*H4),0)</f>
        <v>0</v>
      </c>
      <c r="I36" s="315">
        <f t="shared" ref="I36:L36" si="9">(I4*(SUM(I11:I21)+SUM(I22:I25)))-IF(I4&gt;0,IF(I9&gt;0,I4*I8*I9*(I6/500),SUM(I24:I25)*I4),0)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319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576" t="s">
        <v>50</v>
      </c>
      <c r="B44" s="577">
        <f>B4*B6*B7</f>
        <v>0</v>
      </c>
      <c r="C44" s="577">
        <f t="shared" ref="C44:F44" si="22">C4*C6*C7</f>
        <v>0</v>
      </c>
      <c r="D44" s="577">
        <f t="shared" si="22"/>
        <v>0</v>
      </c>
      <c r="E44" s="577">
        <f t="shared" si="22"/>
        <v>0</v>
      </c>
      <c r="F44" s="577">
        <f t="shared" si="22"/>
        <v>0</v>
      </c>
      <c r="G44" s="234"/>
      <c r="H44" s="577">
        <f>H4*H6*H7</f>
        <v>0</v>
      </c>
      <c r="I44" s="577">
        <f t="shared" ref="I44:L44" si="23">I4*I6*I7</f>
        <v>0</v>
      </c>
      <c r="J44" s="577">
        <f t="shared" si="23"/>
        <v>0</v>
      </c>
      <c r="K44" s="577">
        <f t="shared" si="23"/>
        <v>0</v>
      </c>
      <c r="L44" s="577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style="41" customWidth="1"/>
    <col min="8" max="13" width="8.85546875" customWidth="1"/>
  </cols>
  <sheetData>
    <row r="1" spans="1:29" x14ac:dyDescent="0.25">
      <c r="A1" s="564" t="s">
        <v>33</v>
      </c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x14ac:dyDescent="0.25">
      <c r="A2" s="35" t="s">
        <v>24</v>
      </c>
      <c r="B2" s="25" t="s">
        <v>23</v>
      </c>
      <c r="C2" s="25"/>
      <c r="D2" s="26" t="s">
        <v>26</v>
      </c>
      <c r="E2" s="26"/>
      <c r="F2" s="27" t="s">
        <v>28</v>
      </c>
      <c r="G2" s="29"/>
      <c r="H2" s="25" t="s">
        <v>23</v>
      </c>
      <c r="I2" s="25"/>
      <c r="J2" s="26" t="s">
        <v>26</v>
      </c>
      <c r="K2" s="26"/>
      <c r="L2" s="28" t="s">
        <v>28</v>
      </c>
      <c r="M2" s="431" t="s">
        <v>23</v>
      </c>
      <c r="N2" s="25"/>
      <c r="O2" s="26" t="s">
        <v>26</v>
      </c>
      <c r="P2" s="26"/>
      <c r="Q2" s="106" t="s">
        <v>28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27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27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0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342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343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54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IF(B$4&gt;0,X_Corn!B11,0)</f>
        <v>0</v>
      </c>
      <c r="C11" s="314">
        <f>IF(C$4&gt;0,X_Corn!C11,0)</f>
        <v>0</v>
      </c>
      <c r="D11" s="314">
        <f>IF(D$4&gt;0,X_Corn!D11,0)</f>
        <v>0</v>
      </c>
      <c r="E11" s="314">
        <f>IF(E$4&gt;0,X_Corn!E11,0)</f>
        <v>0</v>
      </c>
      <c r="F11" s="314">
        <f>IF(F$4&gt;0,X_Corn!F11,0)</f>
        <v>0</v>
      </c>
      <c r="G11" s="5"/>
      <c r="H11" s="314">
        <f>IF(H$4&gt;0,X_Corn!H11,0)*Corn!M11</f>
        <v>0</v>
      </c>
      <c r="I11" s="314">
        <f>IF(I$4&gt;0,X_Corn!I11,0)*Corn!N11</f>
        <v>0</v>
      </c>
      <c r="J11" s="314">
        <f>IF(J$4&gt;0,X_Corn!J11,0)*Corn!O11</f>
        <v>0</v>
      </c>
      <c r="K11" s="314">
        <f>IF(K$4&gt;0,X_Corn!K11,0)*Corn!P11</f>
        <v>0</v>
      </c>
      <c r="L11" s="314">
        <f>IF(L$4&gt;0,X_Corn!L11,0)*Corn!Q11</f>
        <v>0</v>
      </c>
      <c r="M11" s="439">
        <v>1</v>
      </c>
      <c r="N11" s="91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IF(B$4&gt;0,X_Corn!B12,0)</f>
        <v>0</v>
      </c>
      <c r="C12" s="314">
        <f>IF(C$4&gt;0,X_Corn!C12,0)</f>
        <v>0</v>
      </c>
      <c r="D12" s="314">
        <f>IF(D$4&gt;0,X_Corn!D12,0)</f>
        <v>0</v>
      </c>
      <c r="E12" s="314">
        <f>IF(E$4&gt;0,X_Corn!E12,0)</f>
        <v>0</v>
      </c>
      <c r="F12" s="314">
        <f>IF(F$4&gt;0,X_Corn!F12,0)</f>
        <v>0</v>
      </c>
      <c r="G12" s="5"/>
      <c r="H12" s="314">
        <f>IF(H$4&gt;0,X_Corn!H12,0)*Corn!M12</f>
        <v>0</v>
      </c>
      <c r="I12" s="314">
        <f>IF(I$4&gt;0,X_Corn!I12,0)*Corn!N12</f>
        <v>0</v>
      </c>
      <c r="J12" s="314">
        <f>IF(J$4&gt;0,X_Corn!J12,0)*Corn!O12</f>
        <v>0</v>
      </c>
      <c r="K12" s="314">
        <f>IF(K$4&gt;0,X_Corn!K12,0)*Corn!P12</f>
        <v>0</v>
      </c>
      <c r="L12" s="314">
        <f>IF(L$4&gt;0,X_Corn!L12,0)*Corn!Q12</f>
        <v>0</v>
      </c>
      <c r="M12" s="439">
        <v>1</v>
      </c>
      <c r="N12" s="91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IF(B$4&gt;0,X_Corn!B13,0)</f>
        <v>0</v>
      </c>
      <c r="C13" s="314">
        <f>IF(C$4&gt;0,X_Corn!C13,0)</f>
        <v>0</v>
      </c>
      <c r="D13" s="314">
        <f>IF(D$4&gt;0,X_Corn!D13,0)</f>
        <v>0</v>
      </c>
      <c r="E13" s="314">
        <f>IF(E$4&gt;0,X_Corn!E13,0)</f>
        <v>0</v>
      </c>
      <c r="F13" s="314">
        <f>IF(F$4&gt;0,X_Corn!F13,0)</f>
        <v>0</v>
      </c>
      <c r="G13" s="5"/>
      <c r="H13" s="314">
        <f>IF(H$4&gt;0,X_Corn!H13,0)*Corn!M13</f>
        <v>0</v>
      </c>
      <c r="I13" s="314">
        <f>IF(I$4&gt;0,X_Corn!I13,0)*Corn!N13</f>
        <v>0</v>
      </c>
      <c r="J13" s="314">
        <f>IF(J$4&gt;0,X_Corn!J13,0)*Corn!O13</f>
        <v>0</v>
      </c>
      <c r="K13" s="314">
        <f>IF(K$4&gt;0,X_Corn!K13,0)*Corn!P13</f>
        <v>0</v>
      </c>
      <c r="L13" s="314">
        <f>IF(L$4&gt;0,X_Corn!L13,0)*Corn!Q13</f>
        <v>0</v>
      </c>
      <c r="M13" s="439">
        <v>1</v>
      </c>
      <c r="N13" s="91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IF(B$4&gt;0,X_Corn!B14,0)</f>
        <v>0</v>
      </c>
      <c r="C14" s="314">
        <f>IF(C$4&gt;0,X_Corn!C14,0)</f>
        <v>0</v>
      </c>
      <c r="D14" s="314">
        <f>IF(D$4&gt;0,X_Corn!D14,0)</f>
        <v>0</v>
      </c>
      <c r="E14" s="314">
        <f>IF(E$4&gt;0,X_Corn!E14,0)</f>
        <v>0</v>
      </c>
      <c r="F14" s="314">
        <f>IF(F$4&gt;0,X_Corn!F14,0)</f>
        <v>0</v>
      </c>
      <c r="G14" s="5"/>
      <c r="H14" s="314">
        <f>IF(H$4&gt;0,X_Corn!H14,0)*Corn!M14</f>
        <v>0</v>
      </c>
      <c r="I14" s="314">
        <f>IF(I$4&gt;0,X_Corn!I14,0)*Corn!N14</f>
        <v>0</v>
      </c>
      <c r="J14" s="314">
        <f>IF(J$4&gt;0,X_Corn!J14,0)*Corn!O14</f>
        <v>0</v>
      </c>
      <c r="K14" s="314">
        <f>IF(K$4&gt;0,X_Corn!K14,0)*Corn!P14</f>
        <v>0</v>
      </c>
      <c r="L14" s="314">
        <f>IF(L$4&gt;0,X_Corn!L14,0)*Corn!Q14</f>
        <v>0</v>
      </c>
      <c r="M14" s="439">
        <v>1</v>
      </c>
      <c r="N14" s="91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IF(B$4&gt;0,X_Corn!B15,0)</f>
        <v>0</v>
      </c>
      <c r="C15" s="314">
        <f>IF(C$4&gt;0,X_Corn!C15,0)</f>
        <v>0</v>
      </c>
      <c r="D15" s="314">
        <f>IF(D$4&gt;0,X_Corn!D15,0)</f>
        <v>0</v>
      </c>
      <c r="E15" s="314">
        <f>IF(E$4&gt;0,X_Corn!E15,0)</f>
        <v>0</v>
      </c>
      <c r="F15" s="314">
        <f>IF(F$4&gt;0,X_Corn!F15,0)</f>
        <v>0</v>
      </c>
      <c r="G15" s="5"/>
      <c r="H15" s="314">
        <f>IF(H$4&gt;0,X_Corn!H15,0)*Corn!M15</f>
        <v>0</v>
      </c>
      <c r="I15" s="314">
        <f>IF(I$4&gt;0,X_Corn!I15,0)*Corn!N15</f>
        <v>0</v>
      </c>
      <c r="J15" s="314">
        <f>IF(J$4&gt;0,X_Corn!J15,0)*Corn!O15</f>
        <v>0</v>
      </c>
      <c r="K15" s="314">
        <f>IF(K$4&gt;0,X_Corn!K15,0)*Corn!P15</f>
        <v>0</v>
      </c>
      <c r="L15" s="314">
        <f>IF(L$4&gt;0,X_Corn!L15,0)*Corn!Q15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IF(B$4&gt;0,X_Corn!B16,0)</f>
        <v>0</v>
      </c>
      <c r="C16" s="314">
        <f>IF(C$4&gt;0,X_Corn!C16,0)</f>
        <v>0</v>
      </c>
      <c r="D16" s="314">
        <f>IF(D$4&gt;0,X_Corn!D16,0)</f>
        <v>0</v>
      </c>
      <c r="E16" s="314">
        <f>IF(E$4&gt;0,X_Corn!E16,0)</f>
        <v>0</v>
      </c>
      <c r="F16" s="314">
        <f>IF(F$4&gt;0,X_Corn!F16,0)</f>
        <v>0</v>
      </c>
      <c r="G16" s="5"/>
      <c r="H16" s="314">
        <f>IF(H$4&gt;0,X_Corn!H16,0)*Corn!M16</f>
        <v>0</v>
      </c>
      <c r="I16" s="314">
        <f>IF(I$4&gt;0,X_Corn!I16,0)*Corn!N16</f>
        <v>0</v>
      </c>
      <c r="J16" s="314">
        <f>IF(J$4&gt;0,X_Corn!J16,0)*Corn!O16</f>
        <v>0</v>
      </c>
      <c r="K16" s="314">
        <f>IF(K$4&gt;0,X_Corn!K16,0)*Corn!P16</f>
        <v>0</v>
      </c>
      <c r="L16" s="314">
        <f>IF(L$4&gt;0,X_Corn!L16,0)*Corn!Q16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IF(B$4&gt;0,X_Corn!B17,0)</f>
        <v>0</v>
      </c>
      <c r="C17" s="314">
        <f>IF(C$4&gt;0,X_Corn!C17,0)</f>
        <v>0</v>
      </c>
      <c r="D17" s="314">
        <f>IF(D$4&gt;0,X_Corn!D17,0)</f>
        <v>0</v>
      </c>
      <c r="E17" s="314">
        <f>IF(E$4&gt;0,X_Corn!E17,0)</f>
        <v>0</v>
      </c>
      <c r="F17" s="314">
        <f>IF(F$4&gt;0,X_Corn!F17,0)</f>
        <v>0</v>
      </c>
      <c r="G17" s="5"/>
      <c r="H17" s="314">
        <f>IF(H$4&gt;0,X_Corn!H17,0)*Corn!M17</f>
        <v>0</v>
      </c>
      <c r="I17" s="314">
        <f>IF(I$4&gt;0,X_Corn!I17,0)*Corn!N17</f>
        <v>0</v>
      </c>
      <c r="J17" s="314">
        <f>IF(J$4&gt;0,X_Corn!J17,0)*Corn!O17</f>
        <v>0</v>
      </c>
      <c r="K17" s="314">
        <f>IF(K$4&gt;0,X_Corn!K17,0)*Corn!P17</f>
        <v>0</v>
      </c>
      <c r="L17" s="314">
        <f>IF(L$4&gt;0,X_Corn!L17,0)*Corn!Q17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IF(B$4&gt;0,X_Corn!B18,0)</f>
        <v>0</v>
      </c>
      <c r="C18" s="314">
        <f>IF(C$4&gt;0,X_Corn!C18,0)</f>
        <v>0</v>
      </c>
      <c r="D18" s="314">
        <f>IF(D$4&gt;0,X_Corn!D18,0)</f>
        <v>0</v>
      </c>
      <c r="E18" s="314">
        <f>IF(E$4&gt;0,X_Corn!E18,0)</f>
        <v>0</v>
      </c>
      <c r="F18" s="314">
        <f>IF(F$4&gt;0,X_Corn!F18,0)</f>
        <v>0</v>
      </c>
      <c r="G18" s="5"/>
      <c r="H18" s="314">
        <f>IF(H$4&gt;0,X_Corn!H18,0)*Corn!M18</f>
        <v>0</v>
      </c>
      <c r="I18" s="314">
        <f>IF(I$4&gt;0,X_Corn!I18,0)*Corn!N18</f>
        <v>0</v>
      </c>
      <c r="J18" s="314">
        <f>IF(J$4&gt;0,X_Corn!J18,0)*Corn!O18</f>
        <v>0</v>
      </c>
      <c r="K18" s="314">
        <f>IF(K$4&gt;0,X_Corn!K18,0)*Corn!P18</f>
        <v>0</v>
      </c>
      <c r="L18" s="314">
        <f>IF(L$4&gt;0,X_Corn!L18,0)*Corn!Q18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IF(B$4&gt;0,X_Corn!B19,0)</f>
        <v>0</v>
      </c>
      <c r="C19" s="314">
        <f>IF(C$4&gt;0,X_Corn!C19,0)</f>
        <v>0</v>
      </c>
      <c r="D19" s="314">
        <f>IF(D$4&gt;0,X_Corn!D19,0)</f>
        <v>0</v>
      </c>
      <c r="E19" s="314">
        <f>IF(E$4&gt;0,X_Corn!E19,0)</f>
        <v>0</v>
      </c>
      <c r="F19" s="314">
        <f>IF(F$4&gt;0,X_Corn!F19,0)</f>
        <v>0</v>
      </c>
      <c r="G19" s="5"/>
      <c r="H19" s="314">
        <f>IF(H$4&gt;0,X_Corn!H19,0)*Corn!M19</f>
        <v>0</v>
      </c>
      <c r="I19" s="314">
        <f>IF(I$4&gt;0,X_Corn!I19,0)*Corn!N19</f>
        <v>0</v>
      </c>
      <c r="J19" s="314">
        <f>IF(J$4&gt;0,X_Corn!J19,0)*Corn!O19</f>
        <v>0</v>
      </c>
      <c r="K19" s="314">
        <f>IF(K$4&gt;0,X_Corn!K19,0)*Corn!P19</f>
        <v>0</v>
      </c>
      <c r="L19" s="314">
        <f>IF(L$4&gt;0,X_Corn!L19,0)*Corn!Q19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IF(B$4&gt;0,X_Corn!B20,0)</f>
        <v>0</v>
      </c>
      <c r="C20" s="314">
        <f>IF(C$4&gt;0,X_Corn!C20,0)</f>
        <v>0</v>
      </c>
      <c r="D20" s="314">
        <f>IF(D$4&gt;0,X_Corn!D20,0)</f>
        <v>0</v>
      </c>
      <c r="E20" s="314">
        <f>IF(E$4&gt;0,X_Corn!E20,0)</f>
        <v>0</v>
      </c>
      <c r="F20" s="314">
        <f>IF(F$4&gt;0,X_Corn!F20,0)</f>
        <v>0</v>
      </c>
      <c r="G20" s="5"/>
      <c r="H20" s="314">
        <f>IF(H$4&gt;0,X_Corn!H20,0)*Corn!M20</f>
        <v>0</v>
      </c>
      <c r="I20" s="314">
        <f>IF(I$4&gt;0,X_Corn!I20,0)*Corn!N20</f>
        <v>0</v>
      </c>
      <c r="J20" s="314">
        <f>IF(J$4&gt;0,X_Corn!J20,0)*Corn!O20</f>
        <v>0</v>
      </c>
      <c r="K20" s="314">
        <f>IF(K$4&gt;0,X_Corn!K20,0)*Corn!P20</f>
        <v>0</v>
      </c>
      <c r="L20" s="314">
        <f>IF(L$4&gt;0,X_Corn!L20,0)*Corn!Q20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IF(B$4&gt;0,X_Corn!B21,0)</f>
        <v>0</v>
      </c>
      <c r="C21" s="314">
        <f>IF(C$4&gt;0,X_Corn!C21,0)</f>
        <v>0</v>
      </c>
      <c r="D21" s="314">
        <f>IF(D$4&gt;0,X_Corn!D21,0)</f>
        <v>0</v>
      </c>
      <c r="E21" s="314">
        <f>IF(E$4&gt;0,X_Corn!E21,0)</f>
        <v>0</v>
      </c>
      <c r="F21" s="314">
        <f>IF(F$4&gt;0,X_Corn!F21,0)</f>
        <v>0</v>
      </c>
      <c r="G21" s="5"/>
      <c r="H21" s="314">
        <f>IF(H$4&gt;0,X_Corn!H21,0)*Corn!M21</f>
        <v>0</v>
      </c>
      <c r="I21" s="314">
        <f>IF(I$4&gt;0,X_Corn!I21,0)*Corn!N21</f>
        <v>0</v>
      </c>
      <c r="J21" s="314">
        <f>IF(J$4&gt;0,X_Corn!J21,0)*Corn!O21</f>
        <v>0</v>
      </c>
      <c r="K21" s="314">
        <f>IF(K$4&gt;0,X_Corn!K21,0)*Corn!P21</f>
        <v>0</v>
      </c>
      <c r="L21" s="314">
        <f>IF(L$4&gt;0,X_Corn!L21,0)*Corn!Q21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IF(B$4&gt;0,X_Corn!B23,0)</f>
        <v>0</v>
      </c>
      <c r="C23" s="314">
        <f>IF(C$4&gt;0,X_Corn!C23,0)</f>
        <v>0</v>
      </c>
      <c r="D23" s="314">
        <f>IF(D$4&gt;0,X_Corn!D23,0)</f>
        <v>0</v>
      </c>
      <c r="E23" s="314">
        <f>IF(E$4&gt;0,X_Corn!E23,0)</f>
        <v>0</v>
      </c>
      <c r="F23" s="314">
        <f>IF(F$4&gt;0,X_Corn!F23,0)</f>
        <v>0</v>
      </c>
      <c r="G23" s="5"/>
      <c r="H23" s="314">
        <f>IF(H$4&gt;0,X_Corn!H23,0)*Corn!M23</f>
        <v>0</v>
      </c>
      <c r="I23" s="314">
        <f>IF(I$4&gt;0,X_Corn!I23,0)*Corn!N23</f>
        <v>0</v>
      </c>
      <c r="J23" s="314">
        <f>IF(J$4&gt;0,X_Corn!J23,0)*Corn!O23</f>
        <v>0</v>
      </c>
      <c r="K23" s="314">
        <f>IF(K$4&gt;0,X_Corn!K23,0)*Corn!P23</f>
        <v>0</v>
      </c>
      <c r="L23" s="314">
        <f>IF(L$4&gt;0,X_Corn!L23,0)*Corn!Q23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IF(B$4&gt;0,(X_Corn!B24/X_Corn!B$6)*B$6,0)</f>
        <v>0</v>
      </c>
      <c r="C24" s="314">
        <f>IF(C$4&gt;0,(X_Corn!C24/X_Corn!C$6)*C$6,0)</f>
        <v>0</v>
      </c>
      <c r="D24" s="314">
        <f>IF(D$4&gt;0,(X_Corn!D24/X_Corn!D$6)*D$6,0)</f>
        <v>0</v>
      </c>
      <c r="E24" s="314">
        <f>IF(E$4&gt;0,(X_Corn!E24/X_Corn!E$6)*E$6,0)</f>
        <v>0</v>
      </c>
      <c r="F24" s="314">
        <f>IF(F$4&gt;0,(X_Corn!F24/X_Corn!F$6)*F$6,0)</f>
        <v>0</v>
      </c>
      <c r="G24" s="5"/>
      <c r="H24" s="314">
        <f>IF(H$4&gt;0,(X_Corn!H24/X_Corn!H$6)*H$6,0)*Corn!M24</f>
        <v>0</v>
      </c>
      <c r="I24" s="314">
        <f>IF(I$4&gt;0,(X_Corn!I24/X_Corn!I$6)*I$6,0)*Corn!N24</f>
        <v>0</v>
      </c>
      <c r="J24" s="314">
        <f>IF(J$4&gt;0,(X_Corn!J24/X_Corn!J$6)*J$6,0)*Corn!O24</f>
        <v>0</v>
      </c>
      <c r="K24" s="314">
        <f>IF(K$4&gt;0,(X_Corn!K24/X_Corn!K$6)*K$6,0)*Corn!P24</f>
        <v>0</v>
      </c>
      <c r="L24" s="314">
        <f>IF(L$4&gt;0,(X_Corn!L24/X_Corn!L$6)*L$6,0)*Corn!Q24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IF(B$4&gt;0,0.01*B$6,0)</f>
        <v>0</v>
      </c>
      <c r="C25" s="314">
        <f t="shared" ref="C25:F25" si="0">IF(C$4&gt;0,0.01*C$6,0)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IF(H$4&gt;0,0.01*H$6,0)*Corn!M25</f>
        <v>0</v>
      </c>
      <c r="I25" s="314">
        <f>IF(I$4&gt;0,0.01*I$6,0)*Corn!N25</f>
        <v>0</v>
      </c>
      <c r="J25" s="314">
        <f>IF(J$4&gt;0,0.01*J$6,0)*Corn!O25</f>
        <v>0</v>
      </c>
      <c r="K25" s="314">
        <f>IF(K$4&gt;0,0.01*K$6,0)*Corn!P25</f>
        <v>0</v>
      </c>
      <c r="L25" s="314">
        <f>IF(L$4&gt;0,0.01*L$6,0)*Corn!Q25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IF(B$4&gt;0,X_Corn!B26,0)</f>
        <v>0</v>
      </c>
      <c r="C26" s="191">
        <f>IF(C$4&gt;0,X_Corn!C26,0)</f>
        <v>0</v>
      </c>
      <c r="D26" s="191">
        <f>IF(D$4&gt;0,X_Corn!D26,0)</f>
        <v>0</v>
      </c>
      <c r="E26" s="191">
        <f>IF(E$4&gt;0,X_Corn!E26,0)</f>
        <v>0</v>
      </c>
      <c r="F26" s="191">
        <f>IF(F$4&gt;0,X_Corn!F26,0)</f>
        <v>0</v>
      </c>
      <c r="G26" s="5"/>
      <c r="H26" s="270">
        <f>IF(H$4&gt;0,X_Corn!H26,0)</f>
        <v>0</v>
      </c>
      <c r="I26" s="270">
        <f>IF(I$4&gt;0,X_Corn!I26,0)</f>
        <v>0</v>
      </c>
      <c r="J26" s="562">
        <f>IF(J$4&gt;0,X_Corn!J26,0)</f>
        <v>0</v>
      </c>
      <c r="K26" s="562">
        <f>IF(K$4&gt;0,X_Corn!K26,0)</f>
        <v>0</v>
      </c>
      <c r="L26" s="563">
        <f>IF(L$4&gt;0,X_Corn!L26,0)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IF(B$4&gt;0,X_Corn!B28,0)</f>
        <v>0</v>
      </c>
      <c r="C28" s="314">
        <f>IF(C$4&gt;0,X_Corn!C28,0)</f>
        <v>0</v>
      </c>
      <c r="D28" s="314">
        <f>IF(D$4&gt;0,X_Corn!D28,0)</f>
        <v>0</v>
      </c>
      <c r="E28" s="314">
        <f>IF(E$4&gt;0,X_Corn!E28,0)</f>
        <v>0</v>
      </c>
      <c r="F28" s="314">
        <f>IF(F$4&gt;0,X_Corn!F28,0)</f>
        <v>0</v>
      </c>
      <c r="G28" s="5"/>
      <c r="H28" s="314">
        <f>IF(H$4&gt;0,X_Corn!H28,0)</f>
        <v>0</v>
      </c>
      <c r="I28" s="314">
        <f>IF(I$4&gt;0,X_Corn!I28,0)</f>
        <v>0</v>
      </c>
      <c r="J28" s="314">
        <f>IF(J$4&gt;0,X_Corn!J28,0)</f>
        <v>0</v>
      </c>
      <c r="K28" s="314">
        <f>IF(K$4&gt;0,X_Corn!K28,0)</f>
        <v>0</v>
      </c>
      <c r="L28" s="314">
        <f>IF(L$4&gt;0,X_Corn!L28,0)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IF(B$4&gt;0,X_Corn!B29,0)</f>
        <v>0</v>
      </c>
      <c r="C29" s="314">
        <f>IF(C$4&gt;0,X_Corn!C29,0)</f>
        <v>0</v>
      </c>
      <c r="D29" s="314">
        <f>IF(D$4&gt;0,X_Corn!D29,0)</f>
        <v>0</v>
      </c>
      <c r="E29" s="314">
        <f>IF(E$4&gt;0,X_Corn!E29,0)</f>
        <v>0</v>
      </c>
      <c r="F29" s="314">
        <f>IF(F$4&gt;0,X_Corn!F29,0)</f>
        <v>0</v>
      </c>
      <c r="G29" s="5"/>
      <c r="H29" s="314">
        <f>IF(H$4&gt;0,X_Corn!H29,0)</f>
        <v>0</v>
      </c>
      <c r="I29" s="314">
        <f>IF(I$4&gt;0,X_Corn!I29,0)</f>
        <v>0</v>
      </c>
      <c r="J29" s="314">
        <f>IF(J$4&gt;0,X_Corn!J29,0)</f>
        <v>0</v>
      </c>
      <c r="K29" s="314">
        <f>IF(K$4&gt;0,X_Corn!K29,0)</f>
        <v>0</v>
      </c>
      <c r="L29" s="314">
        <f>IF(L$4&gt;0,X_Corn!L29,0)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IF(B$4&gt;0,X_Corn!B30,0)</f>
        <v>0</v>
      </c>
      <c r="C30" s="314">
        <f>IF(C$4&gt;0,X_Corn!C30,0)</f>
        <v>0</v>
      </c>
      <c r="D30" s="314">
        <f>IF(D$4&gt;0,X_Corn!D30,0)</f>
        <v>0</v>
      </c>
      <c r="E30" s="314">
        <f>IF(E$4&gt;0,X_Corn!E30,0)</f>
        <v>0</v>
      </c>
      <c r="F30" s="314">
        <f>IF(F$4&gt;0,X_Corn!F30,0)</f>
        <v>0</v>
      </c>
      <c r="G30" s="5"/>
      <c r="H30" s="314">
        <f>IF(H$4&gt;0,X_Corn!H30,0)</f>
        <v>0</v>
      </c>
      <c r="I30" s="314">
        <f>IF(I$4&gt;0,X_Corn!I30,0)</f>
        <v>0</v>
      </c>
      <c r="J30" s="314">
        <f>IF(J$4&gt;0,X_Corn!J30,0)</f>
        <v>0</v>
      </c>
      <c r="K30" s="314">
        <f>IF(K$4&gt;0,X_Corn!K30,0)</f>
        <v>0</v>
      </c>
      <c r="L30" s="314">
        <f>IF(L$4&gt;0,X_Corn!L30,0)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((X_Corn!B32*0.2*B4)/1000)*'Farm Costs &amp; Returns'!$I$13</f>
        <v>0</v>
      </c>
      <c r="C32" s="315">
        <f>((X_Corn!C32*0.2*C4)/1000)*'Farm Costs &amp; Returns'!$I$13</f>
        <v>0</v>
      </c>
      <c r="D32" s="315">
        <f>((X_Corn!D32*0.2*D4)/1000)*'Farm Costs &amp; Returns'!$I$13</f>
        <v>0</v>
      </c>
      <c r="E32" s="315">
        <f>((X_Corn!E32*0.2*E4)/1000)*'Farm Costs &amp; Returns'!$I$13</f>
        <v>0</v>
      </c>
      <c r="F32" s="315">
        <f>((X_Corn!F32*0.2*F4)/1000)*'Farm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B4*(SUM(B11:B21)+SUM(B22:B25))</f>
        <v>0</v>
      </c>
      <c r="C36" s="315">
        <f t="shared" ref="C36:F36" si="8">C4*(SUM(C11:C21)+SUM(C22:C25))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H4*(SUM(H11:H21)+SUM(H22:H25))</f>
        <v>0</v>
      </c>
      <c r="I36" s="315">
        <f t="shared" ref="I36:L36" si="9">I4*(SUM(I11:I21)+SUM(I22:I25))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>B4*B6*B7</f>
        <v>0</v>
      </c>
      <c r="C44" s="315">
        <f t="shared" ref="C44:F44" si="22">C4*C6*C7</f>
        <v>0</v>
      </c>
      <c r="D44" s="315">
        <f t="shared" si="22"/>
        <v>0</v>
      </c>
      <c r="E44" s="315">
        <f t="shared" si="22"/>
        <v>0</v>
      </c>
      <c r="F44" s="315">
        <f t="shared" si="22"/>
        <v>0</v>
      </c>
      <c r="G44" s="234"/>
      <c r="H44" s="315">
        <f>H4*H6*H7</f>
        <v>0</v>
      </c>
      <c r="I44" s="315">
        <f t="shared" ref="I44:L44" si="23">I4*I6*I7</f>
        <v>0</v>
      </c>
      <c r="J44" s="315">
        <f t="shared" si="23"/>
        <v>0</v>
      </c>
      <c r="K44" s="315">
        <f t="shared" si="23"/>
        <v>0</v>
      </c>
      <c r="L44" s="315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style="41" customWidth="1"/>
    <col min="8" max="13" width="8.85546875" customWidth="1"/>
  </cols>
  <sheetData>
    <row r="1" spans="1:29" x14ac:dyDescent="0.25">
      <c r="A1" s="564" t="s">
        <v>339</v>
      </c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x14ac:dyDescent="0.25">
      <c r="A2" s="35" t="s">
        <v>24</v>
      </c>
      <c r="B2" s="25" t="s">
        <v>23</v>
      </c>
      <c r="C2" s="25"/>
      <c r="D2" s="26" t="s">
        <v>26</v>
      </c>
      <c r="E2" s="26"/>
      <c r="F2" s="27" t="s">
        <v>28</v>
      </c>
      <c r="G2" s="29"/>
      <c r="H2" s="25" t="s">
        <v>23</v>
      </c>
      <c r="I2" s="25"/>
      <c r="J2" s="26" t="s">
        <v>26</v>
      </c>
      <c r="K2" s="26"/>
      <c r="L2" s="28" t="s">
        <v>28</v>
      </c>
      <c r="M2" s="431" t="s">
        <v>23</v>
      </c>
      <c r="N2" s="25"/>
      <c r="O2" s="26" t="s">
        <v>26</v>
      </c>
      <c r="P2" s="26"/>
      <c r="Q2" s="106" t="s">
        <v>28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27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27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27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0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342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343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23">
        <v>0.75</v>
      </c>
      <c r="I8" s="23">
        <v>0.75</v>
      </c>
      <c r="J8" s="23">
        <v>0.75</v>
      </c>
      <c r="K8" s="23">
        <v>0.75</v>
      </c>
      <c r="L8" s="54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IF(B$4&gt;0,X_Soybean!B11,0)</f>
        <v>0</v>
      </c>
      <c r="C11" s="314">
        <f>IF(C$4&gt;0,X_Soybean!C11,0)</f>
        <v>0</v>
      </c>
      <c r="D11" s="314">
        <f>IF(D$4&gt;0,X_Soybean!D11,0)</f>
        <v>0</v>
      </c>
      <c r="E11" s="314">
        <f>IF(E$4&gt;0,X_Soybean!E11,0)</f>
        <v>0</v>
      </c>
      <c r="F11" s="314">
        <f>IF(F$4&gt;0,X_Soybean!F11,0)</f>
        <v>0</v>
      </c>
      <c r="G11" s="5"/>
      <c r="H11" s="314">
        <f>IF(H$4&gt;0,X_Soybean!H11,0)*Soybean!M11</f>
        <v>0</v>
      </c>
      <c r="I11" s="314">
        <f>IF(I$4&gt;0,X_Soybean!I11,0)*Soybean!N11</f>
        <v>0</v>
      </c>
      <c r="J11" s="314">
        <f>IF(J$4&gt;0,X_Soybean!J11,0)*Soybean!O11</f>
        <v>0</v>
      </c>
      <c r="K11" s="314">
        <f>IF(K$4&gt;0,X_Soybean!K11,0)*Soybean!P11</f>
        <v>0</v>
      </c>
      <c r="L11" s="314">
        <f>IF(L$4&gt;0,X_Soybean!L11,0)*Soybean!Q11</f>
        <v>0</v>
      </c>
      <c r="M11" s="439">
        <v>1</v>
      </c>
      <c r="N11" s="118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IF(B$4&gt;0,X_Soybean!B12,0)</f>
        <v>0</v>
      </c>
      <c r="C12" s="314">
        <f>IF(C$4&gt;0,X_Soybean!C12,0)</f>
        <v>0</v>
      </c>
      <c r="D12" s="314">
        <f>IF(D$4&gt;0,X_Soybean!D12,0)</f>
        <v>0</v>
      </c>
      <c r="E12" s="314">
        <f>IF(E$4&gt;0,X_Soybean!E12,0)</f>
        <v>0</v>
      </c>
      <c r="F12" s="314">
        <f>IF(F$4&gt;0,X_Soybean!F12,0)</f>
        <v>0</v>
      </c>
      <c r="G12" s="5"/>
      <c r="H12" s="314">
        <f>IF(H$4&gt;0,X_Soybean!H12,0)*Soybean!M12</f>
        <v>0</v>
      </c>
      <c r="I12" s="314">
        <f>IF(I$4&gt;0,X_Soybean!I12,0)*Soybean!N12</f>
        <v>0</v>
      </c>
      <c r="J12" s="314">
        <f>IF(J$4&gt;0,X_Soybean!J12,0)*Soybean!O12</f>
        <v>0</v>
      </c>
      <c r="K12" s="314">
        <f>IF(K$4&gt;0,X_Soybean!K12,0)*Soybean!P12</f>
        <v>0</v>
      </c>
      <c r="L12" s="314">
        <f>IF(L$4&gt;0,X_Soybean!L12,0)*Soybean!Q12</f>
        <v>0</v>
      </c>
      <c r="M12" s="439">
        <v>1</v>
      </c>
      <c r="N12" s="118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IF(B$4&gt;0,X_Soybean!B13,0)</f>
        <v>0</v>
      </c>
      <c r="C13" s="314">
        <f>IF(C$4&gt;0,X_Soybean!C13,0)</f>
        <v>0</v>
      </c>
      <c r="D13" s="314">
        <f>IF(D$4&gt;0,X_Soybean!D13,0)</f>
        <v>0</v>
      </c>
      <c r="E13" s="314">
        <f>IF(E$4&gt;0,X_Soybean!E13,0)</f>
        <v>0</v>
      </c>
      <c r="F13" s="314">
        <f>IF(F$4&gt;0,X_Soybean!F13,0)</f>
        <v>0</v>
      </c>
      <c r="G13" s="5"/>
      <c r="H13" s="314">
        <f>IF(H$4&gt;0,X_Soybean!H13,0)*Soybean!M13</f>
        <v>0</v>
      </c>
      <c r="I13" s="314">
        <f>IF(I$4&gt;0,X_Soybean!I13,0)*Soybean!N13</f>
        <v>0</v>
      </c>
      <c r="J13" s="314">
        <f>IF(J$4&gt;0,X_Soybean!J13,0)*Soybean!O13</f>
        <v>0</v>
      </c>
      <c r="K13" s="314">
        <f>IF(K$4&gt;0,X_Soybean!K13,0)*Soybean!P13</f>
        <v>0</v>
      </c>
      <c r="L13" s="314">
        <f>IF(L$4&gt;0,X_Soybean!L13,0)*Soybean!Q13</f>
        <v>0</v>
      </c>
      <c r="M13" s="439">
        <v>1</v>
      </c>
      <c r="N13" s="118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IF(B$4&gt;0,X_Soybean!B14,0)</f>
        <v>0</v>
      </c>
      <c r="C14" s="314">
        <f>IF(C$4&gt;0,X_Soybean!C14,0)</f>
        <v>0</v>
      </c>
      <c r="D14" s="314">
        <f>IF(D$4&gt;0,X_Soybean!D14,0)</f>
        <v>0</v>
      </c>
      <c r="E14" s="314">
        <f>IF(E$4&gt;0,X_Soybean!E14,0)</f>
        <v>0</v>
      </c>
      <c r="F14" s="314">
        <f>IF(F$4&gt;0,X_Soybean!F14,0)</f>
        <v>0</v>
      </c>
      <c r="G14" s="5"/>
      <c r="H14" s="314">
        <f>IF(H$4&gt;0,X_Soybean!H14,0)*Soybean!M14</f>
        <v>0</v>
      </c>
      <c r="I14" s="314">
        <f>IF(I$4&gt;0,X_Soybean!I14,0)*Soybean!N14</f>
        <v>0</v>
      </c>
      <c r="J14" s="314">
        <f>IF(J$4&gt;0,X_Soybean!J14,0)*Soybean!O14</f>
        <v>0</v>
      </c>
      <c r="K14" s="314">
        <f>IF(K$4&gt;0,X_Soybean!K14,0)*Soybean!P14</f>
        <v>0</v>
      </c>
      <c r="L14" s="314">
        <f>IF(L$4&gt;0,X_Soybean!L14,0)*Soybean!Q14</f>
        <v>0</v>
      </c>
      <c r="M14" s="439">
        <v>1</v>
      </c>
      <c r="N14" s="118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IF(B$4&gt;0,X_Soybean!B15,0)</f>
        <v>0</v>
      </c>
      <c r="C15" s="314">
        <f>IF(C$4&gt;0,X_Soybean!C15,0)</f>
        <v>0</v>
      </c>
      <c r="D15" s="314">
        <f>IF(D$4&gt;0,X_Soybean!D15,0)</f>
        <v>0</v>
      </c>
      <c r="E15" s="314">
        <f>IF(E$4&gt;0,X_Soybean!E15,0)</f>
        <v>0</v>
      </c>
      <c r="F15" s="314">
        <f>IF(F$4&gt;0,X_Soybean!F15,0)</f>
        <v>0</v>
      </c>
      <c r="G15" s="5"/>
      <c r="H15" s="314">
        <f>IF(H$4&gt;0,X_Soybean!H15,0)*Soybean!M15</f>
        <v>0</v>
      </c>
      <c r="I15" s="314">
        <f>IF(I$4&gt;0,X_Soybean!I15,0)*Soybean!N15</f>
        <v>0</v>
      </c>
      <c r="J15" s="314">
        <f>IF(J$4&gt;0,X_Soybean!J15,0)*Soybean!O15</f>
        <v>0</v>
      </c>
      <c r="K15" s="314">
        <f>IF(K$4&gt;0,X_Soybean!K15,0)*Soybean!P15</f>
        <v>0</v>
      </c>
      <c r="L15" s="314">
        <f>IF(L$4&gt;0,X_Soybean!L15,0)*Soybean!Q15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IF(B$4&gt;0,X_Soybean!B16,0)</f>
        <v>0</v>
      </c>
      <c r="C16" s="314">
        <f>IF(C$4&gt;0,X_Soybean!C16,0)</f>
        <v>0</v>
      </c>
      <c r="D16" s="314">
        <f>IF(D$4&gt;0,X_Soybean!D16,0)</f>
        <v>0</v>
      </c>
      <c r="E16" s="314">
        <f>IF(E$4&gt;0,X_Soybean!E16,0)</f>
        <v>0</v>
      </c>
      <c r="F16" s="314">
        <f>IF(F$4&gt;0,X_Soybean!F16,0)</f>
        <v>0</v>
      </c>
      <c r="G16" s="5"/>
      <c r="H16" s="314">
        <f>IF(H$4&gt;0,X_Soybean!H16,0)*Soybean!M16</f>
        <v>0</v>
      </c>
      <c r="I16" s="314">
        <f>IF(I$4&gt;0,X_Soybean!I16,0)*Soybean!N16</f>
        <v>0</v>
      </c>
      <c r="J16" s="314">
        <f>IF(J$4&gt;0,X_Soybean!J16,0)*Soybean!O16</f>
        <v>0</v>
      </c>
      <c r="K16" s="314">
        <f>IF(K$4&gt;0,X_Soybean!K16,0)*Soybean!P16</f>
        <v>0</v>
      </c>
      <c r="L16" s="314">
        <f>IF(L$4&gt;0,X_Soybean!L16,0)*Soybean!Q16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IF(B$4&gt;0,X_Soybean!B17,0)</f>
        <v>0</v>
      </c>
      <c r="C17" s="314">
        <f>IF(C$4&gt;0,X_Soybean!C17,0)</f>
        <v>0</v>
      </c>
      <c r="D17" s="314">
        <f>IF(D$4&gt;0,X_Soybean!D17,0)</f>
        <v>0</v>
      </c>
      <c r="E17" s="314">
        <f>IF(E$4&gt;0,X_Soybean!E17,0)</f>
        <v>0</v>
      </c>
      <c r="F17" s="314">
        <f>IF(F$4&gt;0,X_Soybean!F17,0)</f>
        <v>0</v>
      </c>
      <c r="G17" s="5"/>
      <c r="H17" s="314">
        <f>IF(H$4&gt;0,X_Soybean!H17,0)*Soybean!M17</f>
        <v>0</v>
      </c>
      <c r="I17" s="314">
        <f>IF(I$4&gt;0,X_Soybean!I17,0)*Soybean!N17</f>
        <v>0</v>
      </c>
      <c r="J17" s="314">
        <f>IF(J$4&gt;0,X_Soybean!J17,0)*Soybean!O17</f>
        <v>0</v>
      </c>
      <c r="K17" s="314">
        <f>IF(K$4&gt;0,X_Soybean!K17,0)*Soybean!P17</f>
        <v>0</v>
      </c>
      <c r="L17" s="314">
        <f>IF(L$4&gt;0,X_Soybean!L17,0)*Soybean!Q17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IF(B$4&gt;0,X_Soybean!B18,0)</f>
        <v>0</v>
      </c>
      <c r="C18" s="314">
        <f>IF(C$4&gt;0,X_Soybean!C18,0)</f>
        <v>0</v>
      </c>
      <c r="D18" s="314">
        <f>IF(D$4&gt;0,X_Soybean!D18,0)</f>
        <v>0</v>
      </c>
      <c r="E18" s="314">
        <f>IF(E$4&gt;0,X_Soybean!E18,0)</f>
        <v>0</v>
      </c>
      <c r="F18" s="314">
        <f>IF(F$4&gt;0,X_Soybean!F18,0)</f>
        <v>0</v>
      </c>
      <c r="G18" s="5"/>
      <c r="H18" s="314">
        <f>IF(H$4&gt;0,X_Soybean!H18,0)*Soybean!M18</f>
        <v>0</v>
      </c>
      <c r="I18" s="314">
        <f>IF(I$4&gt;0,X_Soybean!I18,0)*Soybean!N18</f>
        <v>0</v>
      </c>
      <c r="J18" s="314">
        <f>IF(J$4&gt;0,X_Soybean!J18,0)*Soybean!O18</f>
        <v>0</v>
      </c>
      <c r="K18" s="314">
        <f>IF(K$4&gt;0,X_Soybean!K18,0)*Soybean!P18</f>
        <v>0</v>
      </c>
      <c r="L18" s="314">
        <f>IF(L$4&gt;0,X_Soybean!L18,0)*Soybean!Q18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IF(B$4&gt;0,X_Soybean!B19,0)</f>
        <v>0</v>
      </c>
      <c r="C19" s="314">
        <f>IF(C$4&gt;0,X_Soybean!C19,0)</f>
        <v>0</v>
      </c>
      <c r="D19" s="314">
        <f>IF(D$4&gt;0,X_Soybean!D19,0)</f>
        <v>0</v>
      </c>
      <c r="E19" s="314">
        <f>IF(E$4&gt;0,X_Soybean!E19,0)</f>
        <v>0</v>
      </c>
      <c r="F19" s="314">
        <f>IF(F$4&gt;0,X_Soybean!F19,0)</f>
        <v>0</v>
      </c>
      <c r="G19" s="5"/>
      <c r="H19" s="314">
        <f>IF(H$4&gt;0,X_Soybean!H19,0)*Soybean!M19</f>
        <v>0</v>
      </c>
      <c r="I19" s="314">
        <f>IF(I$4&gt;0,X_Soybean!I19,0)*Soybean!N19</f>
        <v>0</v>
      </c>
      <c r="J19" s="314">
        <f>IF(J$4&gt;0,X_Soybean!J19,0)*Soybean!O19</f>
        <v>0</v>
      </c>
      <c r="K19" s="314">
        <f>IF(K$4&gt;0,X_Soybean!K19,0)*Soybean!P19</f>
        <v>0</v>
      </c>
      <c r="L19" s="314">
        <f>IF(L$4&gt;0,X_Soybean!L19,0)*Soybean!Q19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IF(B$4&gt;0,X_Soybean!B20,0)</f>
        <v>0</v>
      </c>
      <c r="C20" s="314">
        <f>IF(C$4&gt;0,X_Soybean!C20,0)</f>
        <v>0</v>
      </c>
      <c r="D20" s="314">
        <f>IF(D$4&gt;0,X_Soybean!D20,0)</f>
        <v>0</v>
      </c>
      <c r="E20" s="314">
        <f>IF(E$4&gt;0,X_Soybean!E20,0)</f>
        <v>0</v>
      </c>
      <c r="F20" s="314">
        <f>IF(F$4&gt;0,X_Soybean!F20,0)</f>
        <v>0</v>
      </c>
      <c r="G20" s="5"/>
      <c r="H20" s="314">
        <f>IF(H$4&gt;0,X_Soybean!H20,0)*Soybean!M20</f>
        <v>0</v>
      </c>
      <c r="I20" s="314">
        <f>IF(I$4&gt;0,X_Soybean!I20,0)*Soybean!N20</f>
        <v>0</v>
      </c>
      <c r="J20" s="314">
        <f>IF(J$4&gt;0,X_Soybean!J20,0)*Soybean!O20</f>
        <v>0</v>
      </c>
      <c r="K20" s="314">
        <f>IF(K$4&gt;0,X_Soybean!K20,0)*Soybean!P20</f>
        <v>0</v>
      </c>
      <c r="L20" s="314">
        <f>IF(L$4&gt;0,X_Soybean!L20,0)*Soybean!Q20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IF(B$4&gt;0,X_Soybean!B21,0)</f>
        <v>0</v>
      </c>
      <c r="C21" s="314">
        <f>IF(C$4&gt;0,X_Soybean!C21,0)</f>
        <v>0</v>
      </c>
      <c r="D21" s="314">
        <f>IF(D$4&gt;0,X_Soybean!D21,0)</f>
        <v>0</v>
      </c>
      <c r="E21" s="314">
        <f>IF(E$4&gt;0,X_Soybean!E21,0)</f>
        <v>0</v>
      </c>
      <c r="F21" s="314">
        <f>IF(F$4&gt;0,X_Soybean!F21,0)</f>
        <v>0</v>
      </c>
      <c r="G21" s="5"/>
      <c r="H21" s="314">
        <f>IF(H$4&gt;0,X_Soybean!H21,0)*Soybean!M21</f>
        <v>0</v>
      </c>
      <c r="I21" s="314">
        <f>IF(I$4&gt;0,X_Soybean!I21,0)*Soybean!N21</f>
        <v>0</v>
      </c>
      <c r="J21" s="314">
        <f>IF(J$4&gt;0,X_Soybean!J21,0)*Soybean!O21</f>
        <v>0</v>
      </c>
      <c r="K21" s="314">
        <f>IF(K$4&gt;0,X_Soybean!K21,0)*Soybean!P21</f>
        <v>0</v>
      </c>
      <c r="L21" s="314">
        <f>IF(L$4&gt;0,X_Soybean!L21,0)*Soybean!Q21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IF(B$4&gt;0,X_Soybean!B23,0)</f>
        <v>0</v>
      </c>
      <c r="C23" s="314">
        <f>IF(C$4&gt;0,X_Soybean!C23,0)</f>
        <v>0</v>
      </c>
      <c r="D23" s="314">
        <f>IF(D$4&gt;0,X_Soybean!D23,0)</f>
        <v>0</v>
      </c>
      <c r="E23" s="314">
        <f>IF(E$4&gt;0,X_Soybean!E23,0)</f>
        <v>0</v>
      </c>
      <c r="F23" s="314">
        <f>IF(F$4&gt;0,X_Soybean!F23,0)</f>
        <v>0</v>
      </c>
      <c r="G23" s="5"/>
      <c r="H23" s="314">
        <f>IF(H$4&gt;0,X_Soybean!H23,0)*Soybean!M23</f>
        <v>0</v>
      </c>
      <c r="I23" s="314">
        <f>IF(I$4&gt;0,X_Soybean!I23,0)*Soybean!N23</f>
        <v>0</v>
      </c>
      <c r="J23" s="314">
        <f>IF(J$4&gt;0,X_Soybean!J23,0)*Soybean!O23</f>
        <v>0</v>
      </c>
      <c r="K23" s="314">
        <f>IF(K$4&gt;0,X_Soybean!K23,0)*Soybean!P23</f>
        <v>0</v>
      </c>
      <c r="L23" s="314">
        <f>IF(L$4&gt;0,X_Soybean!L23,0)*Soybean!Q23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IF(B$4&gt;0,(X_Soybean!B24/X_Soybean!B$6)*B$6,0)</f>
        <v>0</v>
      </c>
      <c r="C24" s="314">
        <f>IF(C$4&gt;0,(X_Soybean!C24/X_Soybean!C$6)*C$6,0)</f>
        <v>0</v>
      </c>
      <c r="D24" s="314">
        <f>IF(D$4&gt;0,(X_Soybean!D24/X_Soybean!D$6)*D$6,0)</f>
        <v>0</v>
      </c>
      <c r="E24" s="314">
        <f>IF(E$4&gt;0,(X_Soybean!E24/X_Soybean!E$6)*E$6,0)</f>
        <v>0</v>
      </c>
      <c r="F24" s="314">
        <f>IF(F$4&gt;0,(X_Soybean!F24/X_Soybean!F$6)*F$6,0)</f>
        <v>0</v>
      </c>
      <c r="G24" s="5"/>
      <c r="H24" s="314">
        <f>IF(H$4&gt;0,(X_Soybean!H24/X_Soybean!H$6)*H$6,0)*Soybean!M24</f>
        <v>0</v>
      </c>
      <c r="I24" s="314">
        <f>IF(I$4&gt;0,(X_Soybean!I24/X_Soybean!I$6)*I$6,0)*Soybean!N24</f>
        <v>0</v>
      </c>
      <c r="J24" s="314">
        <f>IF(J$4&gt;0,(X_Soybean!J24/X_Soybean!J$6)*J$6,0)*Soybean!O24</f>
        <v>0</v>
      </c>
      <c r="K24" s="314">
        <f>IF(K$4&gt;0,(X_Soybean!K24/X_Soybean!K$6)*K$6,0)*Soybean!P24</f>
        <v>0</v>
      </c>
      <c r="L24" s="314">
        <f>IF(L$4&gt;0,(X_Soybean!L24/X_Soybean!L$6)*L$6,0)*Soybean!Q24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IF(B$4&gt;0,(B7*(0.01/2))*B$6,0)</f>
        <v>0</v>
      </c>
      <c r="C25" s="314">
        <f t="shared" ref="C25:F25" si="0">IF(C$4&gt;0,(C7*(0.01/2))*C$6,0)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IF(H$4&gt;0,(H7*(0.01/2))*H$6,0)*Soybean!M25</f>
        <v>0</v>
      </c>
      <c r="I25" s="314">
        <f>IF(I$4&gt;0,(I7*(0.01/2))*I$6,0)*Soybean!N25</f>
        <v>0</v>
      </c>
      <c r="J25" s="314">
        <f>IF(J$4&gt;0,(J7*(0.01/2))*J$6,0)*Soybean!O25</f>
        <v>0</v>
      </c>
      <c r="K25" s="314">
        <f>IF(K$4&gt;0,(K7*(0.01/2))*K$6,0)*Soybean!P25</f>
        <v>0</v>
      </c>
      <c r="L25" s="314">
        <f>IF(L$4&gt;0,(L7*(0.01/2))*L$6,0)*Soybean!Q25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IF(B$4&gt;0,X_Soybean!B26,0)</f>
        <v>0</v>
      </c>
      <c r="C26" s="191">
        <f>IF(C$4&gt;0,X_Soybean!C26,0)</f>
        <v>0</v>
      </c>
      <c r="D26" s="191">
        <f>IF(D$4&gt;0,X_Soybean!D26,0)</f>
        <v>0</v>
      </c>
      <c r="E26" s="191">
        <f>IF(E$4&gt;0,X_Soybean!E26,0)</f>
        <v>0</v>
      </c>
      <c r="F26" s="191">
        <f>IF(F$4&gt;0,X_Soybean!F26,0)</f>
        <v>0</v>
      </c>
      <c r="G26" s="5"/>
      <c r="H26" s="270">
        <f>IF(H$4&gt;0,X_Soybean!H26,0)</f>
        <v>0</v>
      </c>
      <c r="I26" s="270">
        <f>IF(I$4&gt;0,X_Soybean!I26,0)</f>
        <v>0</v>
      </c>
      <c r="J26" s="562">
        <f>IF(J$4&gt;0,X_Soybean!J26,0)</f>
        <v>0</v>
      </c>
      <c r="K26" s="562">
        <f>IF(K$4&gt;0,X_Soybean!K26,0)</f>
        <v>0</v>
      </c>
      <c r="L26" s="563">
        <f>IF(L$4&gt;0,X_Soybean!L26,0)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IF(B$4&gt;0,X_Soybean!B28,0)</f>
        <v>0</v>
      </c>
      <c r="C28" s="314">
        <f>IF(C$4&gt;0,X_Soybean!C28,0)</f>
        <v>0</v>
      </c>
      <c r="D28" s="314">
        <f>IF(D$4&gt;0,X_Soybean!D28,0)</f>
        <v>0</v>
      </c>
      <c r="E28" s="314">
        <f>IF(E$4&gt;0,X_Soybean!E28,0)</f>
        <v>0</v>
      </c>
      <c r="F28" s="314">
        <f>IF(F$4&gt;0,X_Soybean!F28,0)</f>
        <v>0</v>
      </c>
      <c r="G28" s="5"/>
      <c r="H28" s="314">
        <f>IF(H$4&gt;0,X_Soybean!H28,0)</f>
        <v>0</v>
      </c>
      <c r="I28" s="314">
        <f>IF(I$4&gt;0,X_Soybean!I28,0)</f>
        <v>0</v>
      </c>
      <c r="J28" s="314">
        <f>IF(J$4&gt;0,X_Soybean!J28,0)</f>
        <v>0</v>
      </c>
      <c r="K28" s="314">
        <f>IF(K$4&gt;0,X_Soybean!K28,0)</f>
        <v>0</v>
      </c>
      <c r="L28" s="314">
        <f>IF(L$4&gt;0,X_Soybean!L28,0)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IF(B$4&gt;0,X_Soybean!B29,0)</f>
        <v>0</v>
      </c>
      <c r="C29" s="314">
        <f>IF(C$4&gt;0,X_Soybean!C29,0)</f>
        <v>0</v>
      </c>
      <c r="D29" s="314">
        <f>IF(D$4&gt;0,X_Soybean!D29,0)</f>
        <v>0</v>
      </c>
      <c r="E29" s="314">
        <f>IF(E$4&gt;0,X_Soybean!E29,0)</f>
        <v>0</v>
      </c>
      <c r="F29" s="314">
        <f>IF(F$4&gt;0,X_Soybean!F29,0)</f>
        <v>0</v>
      </c>
      <c r="G29" s="5"/>
      <c r="H29" s="314">
        <f>IF(H$4&gt;0,X_Soybean!H29,0)</f>
        <v>0</v>
      </c>
      <c r="I29" s="314">
        <f>IF(I$4&gt;0,X_Soybean!I29,0)</f>
        <v>0</v>
      </c>
      <c r="J29" s="314">
        <f>IF(J$4&gt;0,X_Soybean!J29,0)</f>
        <v>0</v>
      </c>
      <c r="K29" s="314">
        <f>IF(K$4&gt;0,X_Soybean!K29,0)</f>
        <v>0</v>
      </c>
      <c r="L29" s="314">
        <f>IF(L$4&gt;0,X_Soybean!L29,0)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IF(B$4&gt;0,X_Soybean!B30,0)</f>
        <v>0</v>
      </c>
      <c r="C30" s="314">
        <f>IF(C$4&gt;0,X_Soybean!C30,0)</f>
        <v>0</v>
      </c>
      <c r="D30" s="314">
        <f>IF(D$4&gt;0,X_Soybean!D30,0)</f>
        <v>0</v>
      </c>
      <c r="E30" s="314">
        <f>IF(E$4&gt;0,X_Soybean!E30,0)</f>
        <v>0</v>
      </c>
      <c r="F30" s="314">
        <f>IF(F$4&gt;0,X_Soybean!F30,0)</f>
        <v>0</v>
      </c>
      <c r="G30" s="5"/>
      <c r="H30" s="314">
        <f>IF(H$4&gt;0,X_Soybean!H30,0)</f>
        <v>0</v>
      </c>
      <c r="I30" s="314">
        <f>IF(I$4&gt;0,X_Soybean!I30,0)</f>
        <v>0</v>
      </c>
      <c r="J30" s="314">
        <f>IF(J$4&gt;0,X_Soybean!J30,0)</f>
        <v>0</v>
      </c>
      <c r="K30" s="314">
        <f>IF(K$4&gt;0,X_Soybean!K30,0)</f>
        <v>0</v>
      </c>
      <c r="L30" s="314">
        <f>IF(L$4&gt;0,X_Soybean!L30,0)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((X_Soybean!B32*0.2*B4)/1000)*'Farm Costs &amp; Returns'!$I$13</f>
        <v>0</v>
      </c>
      <c r="C32" s="315">
        <f>((X_Soybean!C32*0.2*C4)/1000)*'Farm Costs &amp; Returns'!$I$13</f>
        <v>0</v>
      </c>
      <c r="D32" s="315">
        <f>((X_Soybean!D32*0.2*D4)/1000)*'Farm Costs &amp; Returns'!$I$13</f>
        <v>0</v>
      </c>
      <c r="E32" s="315">
        <f>((X_Soybean!E32*0.2*E4)/1000)*'Farm Costs &amp; Returns'!$I$13</f>
        <v>0</v>
      </c>
      <c r="F32" s="315">
        <f>((X_Soybean!F32*0.2*F4)/1000)*'Farm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B4*(SUM(B11:B21)+SUM(B22:B25))</f>
        <v>0</v>
      </c>
      <c r="C36" s="315">
        <f t="shared" ref="C36:F36" si="8">C4*(SUM(C11:C21)+SUM(C22:C25))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H4*(SUM(H11:H21)+SUM(H22:H25))</f>
        <v>0</v>
      </c>
      <c r="I36" s="315">
        <f t="shared" ref="I36:L36" si="9">I4*(SUM(I11:I21)+SUM(I22:I25))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>B4*B6*B7</f>
        <v>0</v>
      </c>
      <c r="C44" s="315">
        <f t="shared" ref="C44:F44" si="22">C4*C6*C7</f>
        <v>0</v>
      </c>
      <c r="D44" s="315">
        <f t="shared" si="22"/>
        <v>0</v>
      </c>
      <c r="E44" s="315">
        <f t="shared" si="22"/>
        <v>0</v>
      </c>
      <c r="F44" s="315">
        <f t="shared" si="22"/>
        <v>0</v>
      </c>
      <c r="G44" s="234"/>
      <c r="H44" s="315">
        <f>H4*H6*H7</f>
        <v>0</v>
      </c>
      <c r="I44" s="315">
        <f t="shared" ref="I44:L44" si="23">I4*I6*I7</f>
        <v>0</v>
      </c>
      <c r="J44" s="315">
        <f t="shared" si="23"/>
        <v>0</v>
      </c>
      <c r="K44" s="315">
        <f t="shared" si="23"/>
        <v>0</v>
      </c>
      <c r="L44" s="315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style="41" customWidth="1"/>
    <col min="8" max="13" width="8.85546875" customWidth="1"/>
  </cols>
  <sheetData>
    <row r="1" spans="1:29" x14ac:dyDescent="0.25">
      <c r="A1" s="34"/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customHeight="1" x14ac:dyDescent="0.25">
      <c r="A2" s="582" t="s">
        <v>178</v>
      </c>
      <c r="B2" s="25" t="s">
        <v>31</v>
      </c>
      <c r="C2" s="25"/>
      <c r="D2" s="26" t="s">
        <v>46</v>
      </c>
      <c r="E2" s="26"/>
      <c r="F2" s="27" t="s">
        <v>150</v>
      </c>
      <c r="G2" s="29"/>
      <c r="H2" s="25" t="s">
        <v>31</v>
      </c>
      <c r="I2" s="25"/>
      <c r="J2" s="26" t="s">
        <v>46</v>
      </c>
      <c r="K2" s="26"/>
      <c r="L2" s="28" t="s">
        <v>150</v>
      </c>
      <c r="M2" s="431" t="s">
        <v>23</v>
      </c>
      <c r="N2" s="25"/>
      <c r="O2" s="26" t="s">
        <v>26</v>
      </c>
      <c r="P2" s="26"/>
      <c r="Q2" s="106" t="s">
        <v>150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151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151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151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2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342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343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39">
        <v>0.75</v>
      </c>
      <c r="I8" s="39">
        <v>0.75</v>
      </c>
      <c r="J8" s="39">
        <v>0.75</v>
      </c>
      <c r="K8" s="39">
        <v>0.75</v>
      </c>
      <c r="L8" s="446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IF(B$4&gt;0,X_Rice_LG!B11,0)</f>
        <v>0</v>
      </c>
      <c r="C11" s="314">
        <f>IF(C$4&gt;0,X_Rice_LG!C11,0)</f>
        <v>0</v>
      </c>
      <c r="D11" s="314">
        <f>IF(D$4&gt;0,X_Rice_LG!D11,0)</f>
        <v>0</v>
      </c>
      <c r="E11" s="314">
        <f>IF(E$4&gt;0,X_Rice_LG!E11,0)</f>
        <v>0</v>
      </c>
      <c r="F11" s="314">
        <f>IF(F$4&gt;0,X_Rice_LG!F11,0)</f>
        <v>0</v>
      </c>
      <c r="G11" s="5"/>
      <c r="H11" s="314">
        <f>IF(H$4&gt;0,X_Rice_LG!H11,0)*Rice_LG!M11</f>
        <v>0</v>
      </c>
      <c r="I11" s="314">
        <f>IF(I$4&gt;0,X_Rice_LG!I11,0)*Rice_LG!N11</f>
        <v>0</v>
      </c>
      <c r="J11" s="314">
        <f>IF(J$4&gt;0,X_Rice_LG!J11,0)*Rice_LG!O11</f>
        <v>0</v>
      </c>
      <c r="K11" s="314">
        <f>IF(K$4&gt;0,X_Rice_LG!K11,0)*Rice_LG!P11</f>
        <v>0</v>
      </c>
      <c r="L11" s="314">
        <f>IF(L$4&gt;0,X_Rice_LG!L11,0)*Rice_LG!Q11</f>
        <v>0</v>
      </c>
      <c r="M11" s="439">
        <v>1</v>
      </c>
      <c r="N11" s="118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IF(B$4&gt;0,X_Rice_LG!B12,0)</f>
        <v>0</v>
      </c>
      <c r="C12" s="314">
        <f>IF(C$4&gt;0,X_Rice_LG!C12,0)</f>
        <v>0</v>
      </c>
      <c r="D12" s="314">
        <f>IF(D$4&gt;0,X_Rice_LG!D12,0)</f>
        <v>0</v>
      </c>
      <c r="E12" s="314">
        <f>IF(E$4&gt;0,X_Rice_LG!E12,0)</f>
        <v>0</v>
      </c>
      <c r="F12" s="314">
        <f>IF(F$4&gt;0,X_Rice_LG!F12,0)</f>
        <v>0</v>
      </c>
      <c r="G12" s="5"/>
      <c r="H12" s="314">
        <f>IF(H$4&gt;0,X_Rice_LG!H12,0)*Rice_LG!M12</f>
        <v>0</v>
      </c>
      <c r="I12" s="314">
        <f>IF(I$4&gt;0,X_Rice_LG!I12,0)*Rice_LG!N12</f>
        <v>0</v>
      </c>
      <c r="J12" s="314">
        <f>IF(J$4&gt;0,X_Rice_LG!J12,0)*Rice_LG!O12</f>
        <v>0</v>
      </c>
      <c r="K12" s="314">
        <f>IF(K$4&gt;0,X_Rice_LG!K12,0)*Rice_LG!P12</f>
        <v>0</v>
      </c>
      <c r="L12" s="314">
        <f>IF(L$4&gt;0,X_Rice_LG!L12,0)*Rice_LG!Q12</f>
        <v>0</v>
      </c>
      <c r="M12" s="439">
        <v>1</v>
      </c>
      <c r="N12" s="118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IF(B$4&gt;0,X_Rice_LG!B13,0)</f>
        <v>0</v>
      </c>
      <c r="C13" s="314">
        <f>IF(C$4&gt;0,X_Rice_LG!C13,0)</f>
        <v>0</v>
      </c>
      <c r="D13" s="314">
        <f>IF(D$4&gt;0,X_Rice_LG!D13,0)</f>
        <v>0</v>
      </c>
      <c r="E13" s="314">
        <f>IF(E$4&gt;0,X_Rice_LG!E13,0)</f>
        <v>0</v>
      </c>
      <c r="F13" s="314">
        <f>IF(F$4&gt;0,X_Rice_LG!F13,0)</f>
        <v>0</v>
      </c>
      <c r="G13" s="5"/>
      <c r="H13" s="314">
        <f>IF(H$4&gt;0,X_Rice_LG!H13,0)*Rice_LG!M13</f>
        <v>0</v>
      </c>
      <c r="I13" s="314">
        <f>IF(I$4&gt;0,X_Rice_LG!I13,0)*Rice_LG!N13</f>
        <v>0</v>
      </c>
      <c r="J13" s="314">
        <f>IF(J$4&gt;0,X_Rice_LG!J13,0)*Rice_LG!O13</f>
        <v>0</v>
      </c>
      <c r="K13" s="314">
        <f>IF(K$4&gt;0,X_Rice_LG!K13,0)*Rice_LG!P13</f>
        <v>0</v>
      </c>
      <c r="L13" s="314">
        <f>IF(L$4&gt;0,X_Rice_LG!L13,0)*Rice_LG!Q13</f>
        <v>0</v>
      </c>
      <c r="M13" s="439">
        <v>1</v>
      </c>
      <c r="N13" s="118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IF(B$4&gt;0,X_Rice_LG!B14,0)</f>
        <v>0</v>
      </c>
      <c r="C14" s="314">
        <f>IF(C$4&gt;0,X_Rice_LG!C14,0)</f>
        <v>0</v>
      </c>
      <c r="D14" s="314">
        <f>IF(D$4&gt;0,X_Rice_LG!D14,0)</f>
        <v>0</v>
      </c>
      <c r="E14" s="314">
        <f>IF(E$4&gt;0,X_Rice_LG!E14,0)</f>
        <v>0</v>
      </c>
      <c r="F14" s="314">
        <f>IF(F$4&gt;0,X_Rice_LG!F14,0)</f>
        <v>0</v>
      </c>
      <c r="G14" s="5"/>
      <c r="H14" s="314">
        <f>IF(H$4&gt;0,X_Rice_LG!H14,0)*Rice_LG!M14</f>
        <v>0</v>
      </c>
      <c r="I14" s="314">
        <f>IF(I$4&gt;0,X_Rice_LG!I14,0)*Rice_LG!N14</f>
        <v>0</v>
      </c>
      <c r="J14" s="314">
        <f>IF(J$4&gt;0,X_Rice_LG!J14,0)*Rice_LG!O14</f>
        <v>0</v>
      </c>
      <c r="K14" s="314">
        <f>IF(K$4&gt;0,X_Rice_LG!K14,0)*Rice_LG!P14</f>
        <v>0</v>
      </c>
      <c r="L14" s="314">
        <f>IF(L$4&gt;0,X_Rice_LG!L14,0)*Rice_LG!Q14</f>
        <v>0</v>
      </c>
      <c r="M14" s="439">
        <v>1</v>
      </c>
      <c r="N14" s="118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IF(B$4&gt;0,X_Rice_LG!B15,0)</f>
        <v>0</v>
      </c>
      <c r="C15" s="314">
        <f>IF(C$4&gt;0,X_Rice_LG!C15,0)</f>
        <v>0</v>
      </c>
      <c r="D15" s="314">
        <f>IF(D$4&gt;0,X_Rice_LG!D15,0)</f>
        <v>0</v>
      </c>
      <c r="E15" s="314">
        <f>IF(E$4&gt;0,X_Rice_LG!E15,0)</f>
        <v>0</v>
      </c>
      <c r="F15" s="314">
        <f>IF(F$4&gt;0,X_Rice_LG!F15,0)</f>
        <v>0</v>
      </c>
      <c r="G15" s="5"/>
      <c r="H15" s="314">
        <f>IF(H$4&gt;0,X_Rice_LG!H15,0)*Rice_LG!M15</f>
        <v>0</v>
      </c>
      <c r="I15" s="314">
        <f>IF(I$4&gt;0,X_Rice_LG!I15,0)*Rice_LG!N15</f>
        <v>0</v>
      </c>
      <c r="J15" s="314">
        <f>IF(J$4&gt;0,X_Rice_LG!J15,0)*Rice_LG!O15</f>
        <v>0</v>
      </c>
      <c r="K15" s="314">
        <f>IF(K$4&gt;0,X_Rice_LG!K15,0)*Rice_LG!P15</f>
        <v>0</v>
      </c>
      <c r="L15" s="314">
        <f>IF(L$4&gt;0,X_Rice_LG!L15,0)*Rice_LG!Q15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IF(B$4&gt;0,X_Rice_LG!B16,0)</f>
        <v>0</v>
      </c>
      <c r="C16" s="314">
        <f>IF(C$4&gt;0,X_Rice_LG!C16,0)</f>
        <v>0</v>
      </c>
      <c r="D16" s="314">
        <f>IF(D$4&gt;0,X_Rice_LG!D16,0)</f>
        <v>0</v>
      </c>
      <c r="E16" s="314">
        <f>IF(E$4&gt;0,X_Rice_LG!E16,0)</f>
        <v>0</v>
      </c>
      <c r="F16" s="314">
        <f>IF(F$4&gt;0,X_Rice_LG!F16,0)</f>
        <v>0</v>
      </c>
      <c r="G16" s="5"/>
      <c r="H16" s="314">
        <f>IF(H$4&gt;0,X_Rice_LG!H16,0)*Rice_LG!M16</f>
        <v>0</v>
      </c>
      <c r="I16" s="314">
        <f>IF(I$4&gt;0,X_Rice_LG!I16,0)*Rice_LG!N16</f>
        <v>0</v>
      </c>
      <c r="J16" s="314">
        <f>IF(J$4&gt;0,X_Rice_LG!J16,0)*Rice_LG!O16</f>
        <v>0</v>
      </c>
      <c r="K16" s="314">
        <f>IF(K$4&gt;0,X_Rice_LG!K16,0)*Rice_LG!P16</f>
        <v>0</v>
      </c>
      <c r="L16" s="314">
        <f>IF(L$4&gt;0,X_Rice_LG!L16,0)*Rice_LG!Q16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IF(B$4&gt;0,X_Rice_LG!B17,0)</f>
        <v>0</v>
      </c>
      <c r="C17" s="314">
        <f>IF(C$4&gt;0,X_Rice_LG!C17,0)</f>
        <v>0</v>
      </c>
      <c r="D17" s="314">
        <f>IF(D$4&gt;0,X_Rice_LG!D17,0)</f>
        <v>0</v>
      </c>
      <c r="E17" s="314">
        <f>IF(E$4&gt;0,X_Rice_LG!E17,0)</f>
        <v>0</v>
      </c>
      <c r="F17" s="314">
        <f>IF(F$4&gt;0,X_Rice_LG!F17,0)</f>
        <v>0</v>
      </c>
      <c r="G17" s="5"/>
      <c r="H17" s="314">
        <f>IF(H$4&gt;0,X_Rice_LG!H17,0)*Rice_LG!M17</f>
        <v>0</v>
      </c>
      <c r="I17" s="314">
        <f>IF(I$4&gt;0,X_Rice_LG!I17,0)*Rice_LG!N17</f>
        <v>0</v>
      </c>
      <c r="J17" s="314">
        <f>IF(J$4&gt;0,X_Rice_LG!J17,0)*Rice_LG!O17</f>
        <v>0</v>
      </c>
      <c r="K17" s="314">
        <f>IF(K$4&gt;0,X_Rice_LG!K17,0)*Rice_LG!P17</f>
        <v>0</v>
      </c>
      <c r="L17" s="314">
        <f>IF(L$4&gt;0,X_Rice_LG!L17,0)*Rice_LG!Q17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IF(B$4&gt;0,X_Rice_LG!B18,0)</f>
        <v>0</v>
      </c>
      <c r="C18" s="314">
        <f>IF(C$4&gt;0,X_Rice_LG!C18,0)</f>
        <v>0</v>
      </c>
      <c r="D18" s="314">
        <f>IF(D$4&gt;0,X_Rice_LG!D18,0)</f>
        <v>0</v>
      </c>
      <c r="E18" s="314">
        <f>IF(E$4&gt;0,X_Rice_LG!E18,0)</f>
        <v>0</v>
      </c>
      <c r="F18" s="314">
        <f>IF(F$4&gt;0,X_Rice_LG!F18,0)</f>
        <v>0</v>
      </c>
      <c r="G18" s="5"/>
      <c r="H18" s="314">
        <f>IF(H$4&gt;0,X_Rice_LG!H18,0)*Rice_LG!M18</f>
        <v>0</v>
      </c>
      <c r="I18" s="314">
        <f>IF(I$4&gt;0,X_Rice_LG!I18,0)*Rice_LG!N18</f>
        <v>0</v>
      </c>
      <c r="J18" s="314">
        <f>IF(J$4&gt;0,X_Rice_LG!J18,0)*Rice_LG!O18</f>
        <v>0</v>
      </c>
      <c r="K18" s="314">
        <f>IF(K$4&gt;0,X_Rice_LG!K18,0)*Rice_LG!P18</f>
        <v>0</v>
      </c>
      <c r="L18" s="314">
        <f>IF(L$4&gt;0,X_Rice_LG!L18,0)*Rice_LG!Q18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IF(B$4&gt;0,X_Rice_LG!B19,0)</f>
        <v>0</v>
      </c>
      <c r="C19" s="314">
        <f>IF(C$4&gt;0,X_Rice_LG!C19,0)</f>
        <v>0</v>
      </c>
      <c r="D19" s="314">
        <f>IF(D$4&gt;0,X_Rice_LG!D19,0)</f>
        <v>0</v>
      </c>
      <c r="E19" s="314">
        <f>IF(E$4&gt;0,X_Rice_LG!E19,0)</f>
        <v>0</v>
      </c>
      <c r="F19" s="314">
        <f>IF(F$4&gt;0,X_Rice_LG!F19,0)</f>
        <v>0</v>
      </c>
      <c r="G19" s="5"/>
      <c r="H19" s="314">
        <f>IF(H$4&gt;0,X_Rice_LG!H19,0)*Rice_LG!M19</f>
        <v>0</v>
      </c>
      <c r="I19" s="314">
        <f>IF(I$4&gt;0,X_Rice_LG!I19,0)*Rice_LG!N19</f>
        <v>0</v>
      </c>
      <c r="J19" s="314">
        <f>IF(J$4&gt;0,X_Rice_LG!J19,0)*Rice_LG!O19</f>
        <v>0</v>
      </c>
      <c r="K19" s="314">
        <f>IF(K$4&gt;0,X_Rice_LG!K19,0)*Rice_LG!P19</f>
        <v>0</v>
      </c>
      <c r="L19" s="314">
        <f>IF(L$4&gt;0,X_Rice_LG!L19,0)*Rice_LG!Q19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IF(B$4&gt;0,X_Rice_LG!B20,0)</f>
        <v>0</v>
      </c>
      <c r="C20" s="314">
        <f>IF(C$4&gt;0,X_Rice_LG!C20,0)</f>
        <v>0</v>
      </c>
      <c r="D20" s="314">
        <f>IF(D$4&gt;0,X_Rice_LG!D20,0)</f>
        <v>0</v>
      </c>
      <c r="E20" s="314">
        <f>IF(E$4&gt;0,X_Rice_LG!E20,0)</f>
        <v>0</v>
      </c>
      <c r="F20" s="314">
        <f>IF(F$4&gt;0,X_Rice_LG!F20,0)</f>
        <v>0</v>
      </c>
      <c r="G20" s="5"/>
      <c r="H20" s="314">
        <f>IF(H$4&gt;0,X_Rice_LG!H20,0)*Rice_LG!M20</f>
        <v>0</v>
      </c>
      <c r="I20" s="314">
        <f>IF(I$4&gt;0,X_Rice_LG!I20,0)*Rice_LG!N20</f>
        <v>0</v>
      </c>
      <c r="J20" s="314">
        <f>IF(J$4&gt;0,X_Rice_LG!J20,0)*Rice_LG!O20</f>
        <v>0</v>
      </c>
      <c r="K20" s="314">
        <f>IF(K$4&gt;0,X_Rice_LG!K20,0)*Rice_LG!P20</f>
        <v>0</v>
      </c>
      <c r="L20" s="314">
        <f>IF(L$4&gt;0,X_Rice_LG!L20,0)*Rice_LG!Q20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IF(B$4&gt;0,X_Rice_LG!B21,0)</f>
        <v>0</v>
      </c>
      <c r="C21" s="314">
        <f>IF(C$4&gt;0,X_Rice_LG!C21,0)</f>
        <v>0</v>
      </c>
      <c r="D21" s="314">
        <f>IF(D$4&gt;0,X_Rice_LG!D21,0)</f>
        <v>0</v>
      </c>
      <c r="E21" s="314">
        <f>IF(E$4&gt;0,X_Rice_LG!E21,0)</f>
        <v>0</v>
      </c>
      <c r="F21" s="314">
        <f>IF(F$4&gt;0,X_Rice_LG!F21,0)</f>
        <v>0</v>
      </c>
      <c r="G21" s="5"/>
      <c r="H21" s="314">
        <f>IF(H$4&gt;0,X_Rice_LG!H21,0)*Rice_LG!M21</f>
        <v>0</v>
      </c>
      <c r="I21" s="314">
        <f>IF(I$4&gt;0,X_Rice_LG!I21,0)*Rice_LG!N21</f>
        <v>0</v>
      </c>
      <c r="J21" s="314">
        <f>IF(J$4&gt;0,X_Rice_LG!J21,0)*Rice_LG!O21</f>
        <v>0</v>
      </c>
      <c r="K21" s="314">
        <f>IF(K$4&gt;0,X_Rice_LG!K21,0)*Rice_LG!P21</f>
        <v>0</v>
      </c>
      <c r="L21" s="314">
        <f>IF(L$4&gt;0,X_Rice_LG!L21,0)*Rice_LG!Q21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IF(B$4&gt;0,X_Rice_LG!B23,0)</f>
        <v>0</v>
      </c>
      <c r="C23" s="314">
        <f>IF(C$4&gt;0,X_Rice_LG!C23,0)</f>
        <v>0</v>
      </c>
      <c r="D23" s="314">
        <f>IF(D$4&gt;0,X_Rice_LG!D23,0)</f>
        <v>0</v>
      </c>
      <c r="E23" s="314">
        <f>IF(E$4&gt;0,X_Rice_LG!E23,0)</f>
        <v>0</v>
      </c>
      <c r="F23" s="314">
        <f>IF(F$4&gt;0,X_Rice_LG!F23,0)</f>
        <v>0</v>
      </c>
      <c r="G23" s="5"/>
      <c r="H23" s="314">
        <f>IF(H$4&gt;0,X_Rice_LG!H23,0)*Rice_LG!M23</f>
        <v>0</v>
      </c>
      <c r="I23" s="314">
        <f>IF(I$4&gt;0,X_Rice_LG!I23,0)*Rice_LG!N23</f>
        <v>0</v>
      </c>
      <c r="J23" s="314">
        <f>IF(J$4&gt;0,X_Rice_LG!J23,0)*Rice_LG!O23</f>
        <v>0</v>
      </c>
      <c r="K23" s="314">
        <f>IF(K$4&gt;0,X_Rice_LG!K23,0)*Rice_LG!P23</f>
        <v>0</v>
      </c>
      <c r="L23" s="314">
        <f>IF(L$4&gt;0,X_Rice_LG!L23,0)*Rice_LG!Q23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IF(B$4&gt;0,(X_Rice_LG!B24/X_Rice_LG!B$6)*B$6,0)</f>
        <v>0</v>
      </c>
      <c r="C24" s="314">
        <f>IF(C$4&gt;0,(X_Rice_LG!C24/X_Rice_LG!C$6)*C$6,0)</f>
        <v>0</v>
      </c>
      <c r="D24" s="314">
        <f>IF(D$4&gt;0,(X_Rice_LG!D24/X_Rice_LG!D$6)*D$6,0)</f>
        <v>0</v>
      </c>
      <c r="E24" s="314">
        <f>IF(E$4&gt;0,(X_Rice_LG!E24/X_Rice_LG!E$6)*E$6,0)</f>
        <v>0</v>
      </c>
      <c r="F24" s="314">
        <f>IF(F$4&gt;0,(X_Rice_LG!F24/X_Rice_LG!F$6)*F$6,0)</f>
        <v>0</v>
      </c>
      <c r="G24" s="5"/>
      <c r="H24" s="314">
        <f>IF(H$4&gt;0,(X_Rice_LG!H24/X_Rice_LG!H$6)*H$6,0)*Rice_LG!M24</f>
        <v>0</v>
      </c>
      <c r="I24" s="314">
        <f>IF(I$4&gt;0,(X_Rice_LG!I24/X_Rice_LG!I$6)*I$6,0)*Rice_LG!N24</f>
        <v>0</v>
      </c>
      <c r="J24" s="314">
        <f>IF(J$4&gt;0,(X_Rice_LG!J24/X_Rice_LG!J$6)*J$6,0)*Rice_LG!O24</f>
        <v>0</v>
      </c>
      <c r="K24" s="314">
        <f>IF(K$4&gt;0,(X_Rice_LG!K24/X_Rice_LG!K$6)*K$6,0)*Rice_LG!P24</f>
        <v>0</v>
      </c>
      <c r="L24" s="314">
        <f>IF(L$4&gt;0,(X_Rice_LG!L24/X_Rice_LG!L$6)*L$6,0)*Rice_LG!Q24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IF(B$4&gt;0,0.0135*B$6,0)</f>
        <v>0</v>
      </c>
      <c r="C25" s="314">
        <f t="shared" ref="C25:F25" si="0">IF(C$4&gt;0,0.0135*C$6,0)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IF(H$4&gt;0,0.0135*H$6,0)*Rice_LG!M25</f>
        <v>0</v>
      </c>
      <c r="I25" s="314">
        <f>IF(I$4&gt;0,0.0135*I$6,0)*Rice_LG!N25</f>
        <v>0</v>
      </c>
      <c r="J25" s="314">
        <f>IF(J$4&gt;0,0.0135*J$6,0)*Rice_LG!O25</f>
        <v>0</v>
      </c>
      <c r="K25" s="314">
        <f>IF(K$4&gt;0,0.0135*K$6,0)*Rice_LG!P25</f>
        <v>0</v>
      </c>
      <c r="L25" s="314">
        <f>IF(L$4&gt;0,0.0135*L$6,0)*Rice_LG!Q25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IF(B$4&gt;0,X_Rice_LG!B26,0)</f>
        <v>0</v>
      </c>
      <c r="C26" s="191">
        <f>IF(C$4&gt;0,X_Rice_LG!C26,0)</f>
        <v>0</v>
      </c>
      <c r="D26" s="191">
        <f>IF(D$4&gt;0,X_Rice_LG!D26,0)</f>
        <v>0</v>
      </c>
      <c r="E26" s="191">
        <f>IF(E$4&gt;0,X_Rice_LG!E26,0)</f>
        <v>0</v>
      </c>
      <c r="F26" s="191">
        <f>IF(F$4&gt;0,X_Rice_LG!F26,0)</f>
        <v>0</v>
      </c>
      <c r="G26" s="5"/>
      <c r="H26" s="270">
        <f>IF(H$4&gt;0,X_Rice_LG!H26,0)</f>
        <v>0</v>
      </c>
      <c r="I26" s="270">
        <f>IF(I$4&gt;0,X_Rice_LG!I26,0)</f>
        <v>0</v>
      </c>
      <c r="J26" s="562">
        <f>IF(J$4&gt;0,X_Rice_LG!J26,0)</f>
        <v>0</v>
      </c>
      <c r="K26" s="562">
        <f>IF(K$4&gt;0,X_Rice_LG!K26,0)</f>
        <v>0</v>
      </c>
      <c r="L26" s="563">
        <f>IF(L$4&gt;0,X_Rice_LG!L26,0)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IF(B$4&gt;0,X_Rice_LG!B28,0)</f>
        <v>0</v>
      </c>
      <c r="C28" s="314">
        <f>IF(C$4&gt;0,X_Rice_LG!C28,0)</f>
        <v>0</v>
      </c>
      <c r="D28" s="314">
        <f>IF(D$4&gt;0,X_Rice_LG!D28,0)</f>
        <v>0</v>
      </c>
      <c r="E28" s="314">
        <f>IF(E$4&gt;0,X_Rice_LG!E28,0)</f>
        <v>0</v>
      </c>
      <c r="F28" s="314">
        <f>IF(F$4&gt;0,X_Rice_LG!F28,0)</f>
        <v>0</v>
      </c>
      <c r="G28" s="5"/>
      <c r="H28" s="314">
        <f>IF(H$4&gt;0,X_Rice_LG!H28,0)</f>
        <v>0</v>
      </c>
      <c r="I28" s="314">
        <f>IF(I$4&gt;0,X_Rice_LG!I28,0)</f>
        <v>0</v>
      </c>
      <c r="J28" s="314">
        <f>IF(J$4&gt;0,X_Rice_LG!J28,0)</f>
        <v>0</v>
      </c>
      <c r="K28" s="314">
        <f>IF(K$4&gt;0,X_Rice_LG!K28,0)</f>
        <v>0</v>
      </c>
      <c r="L28" s="314">
        <f>IF(L$4&gt;0,X_Rice_LG!L28,0)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IF(B$4&gt;0,X_Rice_LG!B29,0)</f>
        <v>0</v>
      </c>
      <c r="C29" s="314">
        <f>IF(C$4&gt;0,X_Rice_LG!C29,0)</f>
        <v>0</v>
      </c>
      <c r="D29" s="314">
        <f>IF(D$4&gt;0,X_Rice_LG!D29,0)</f>
        <v>0</v>
      </c>
      <c r="E29" s="314">
        <f>IF(E$4&gt;0,X_Rice_LG!E29,0)</f>
        <v>0</v>
      </c>
      <c r="F29" s="314">
        <f>IF(F$4&gt;0,X_Rice_LG!F29,0)</f>
        <v>0</v>
      </c>
      <c r="G29" s="5"/>
      <c r="H29" s="314">
        <f>IF(H$4&gt;0,X_Rice_LG!H29,0)</f>
        <v>0</v>
      </c>
      <c r="I29" s="314">
        <f>IF(I$4&gt;0,X_Rice_LG!I29,0)</f>
        <v>0</v>
      </c>
      <c r="J29" s="314">
        <f>IF(J$4&gt;0,X_Rice_LG!J29,0)</f>
        <v>0</v>
      </c>
      <c r="K29" s="314">
        <f>IF(K$4&gt;0,X_Rice_LG!K29,0)</f>
        <v>0</v>
      </c>
      <c r="L29" s="314">
        <f>IF(L$4&gt;0,X_Rice_LG!L29,0)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IF(B$4&gt;0,X_Rice_LG!B30,0)</f>
        <v>0</v>
      </c>
      <c r="C30" s="314">
        <f>IF(C$4&gt;0,X_Rice_LG!C30,0)</f>
        <v>0</v>
      </c>
      <c r="D30" s="314">
        <f>IF(D$4&gt;0,X_Rice_LG!D30,0)</f>
        <v>0</v>
      </c>
      <c r="E30" s="314">
        <f>IF(E$4&gt;0,X_Rice_LG!E30,0)</f>
        <v>0</v>
      </c>
      <c r="F30" s="314">
        <f>IF(F$4&gt;0,X_Rice_LG!F30,0)</f>
        <v>0</v>
      </c>
      <c r="G30" s="5"/>
      <c r="H30" s="314">
        <f>IF(H$4&gt;0,X_Rice_LG!H30,0)</f>
        <v>0</v>
      </c>
      <c r="I30" s="314">
        <f>IF(I$4&gt;0,X_Rice_LG!I30,0)</f>
        <v>0</v>
      </c>
      <c r="J30" s="314">
        <f>IF(J$4&gt;0,X_Rice_LG!J30,0)</f>
        <v>0</v>
      </c>
      <c r="K30" s="314">
        <f>IF(K$4&gt;0,X_Rice_LG!K30,0)</f>
        <v>0</v>
      </c>
      <c r="L30" s="314">
        <f>IF(L$4&gt;0,X_Rice_LG!L30,0)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((X_Rice_LG!B32*0.2*B4)/1000)*'Farm Costs &amp; Returns'!$I$13</f>
        <v>0</v>
      </c>
      <c r="C32" s="315">
        <f>((X_Rice_LG!C32*0.2*C4)/1000)*'Farm Costs &amp; Returns'!$I$13</f>
        <v>0</v>
      </c>
      <c r="D32" s="315">
        <f>((X_Rice_LG!D32*0.2*D4)/1000)*'Farm Costs &amp; Returns'!$I$13</f>
        <v>0</v>
      </c>
      <c r="E32" s="315">
        <f>((X_Rice_LG!E32*0.2*E4)/1000)*'Farm Costs &amp; Returns'!$I$13</f>
        <v>0</v>
      </c>
      <c r="F32" s="315">
        <f>((X_Rice_LG!F32*0.2*F4)/1000)*'Farm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B4*(SUM(B11:B21)+SUM(B22:B25))</f>
        <v>0</v>
      </c>
      <c r="C36" s="315">
        <f t="shared" ref="C36:F36" si="8">C4*(SUM(C11:C21)+SUM(C22:C25))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H4*(SUM(H11:H21)+SUM(H22:H25))</f>
        <v>0</v>
      </c>
      <c r="I36" s="315">
        <f t="shared" ref="I36:L36" si="9">I4*(SUM(I11:I21)+SUM(I22:I25))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>B4*B6*B7</f>
        <v>0</v>
      </c>
      <c r="C44" s="315">
        <f t="shared" ref="C44:F44" si="22">C4*C6*C7</f>
        <v>0</v>
      </c>
      <c r="D44" s="315">
        <f t="shared" si="22"/>
        <v>0</v>
      </c>
      <c r="E44" s="315">
        <f t="shared" si="22"/>
        <v>0</v>
      </c>
      <c r="F44" s="315">
        <f t="shared" si="22"/>
        <v>0</v>
      </c>
      <c r="G44" s="234"/>
      <c r="H44" s="315">
        <f>H4*H6*H7</f>
        <v>0</v>
      </c>
      <c r="I44" s="315">
        <f t="shared" ref="I44:L44" si="23">I4*I6*I7</f>
        <v>0</v>
      </c>
      <c r="J44" s="315">
        <f t="shared" si="23"/>
        <v>0</v>
      </c>
      <c r="K44" s="315">
        <f t="shared" si="23"/>
        <v>0</v>
      </c>
      <c r="L44" s="315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AC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7.140625" bestFit="1" customWidth="1"/>
    <col min="2" max="6" width="8.85546875" customWidth="1"/>
    <col min="7" max="7" width="0.85546875" style="41" customWidth="1"/>
    <col min="8" max="13" width="8.85546875" customWidth="1"/>
  </cols>
  <sheetData>
    <row r="1" spans="1:29" x14ac:dyDescent="0.25">
      <c r="A1" s="34"/>
      <c r="B1" s="37" t="s">
        <v>20</v>
      </c>
      <c r="C1" s="36"/>
      <c r="D1" s="36"/>
      <c r="E1" s="36"/>
      <c r="F1" s="36"/>
      <c r="G1" s="119"/>
      <c r="H1" s="37" t="s">
        <v>29</v>
      </c>
      <c r="I1" s="36"/>
      <c r="J1" s="36"/>
      <c r="K1" s="36"/>
      <c r="L1" s="36"/>
      <c r="M1" s="430" t="s">
        <v>57</v>
      </c>
      <c r="N1" s="46"/>
      <c r="O1" s="46"/>
      <c r="P1" s="46"/>
      <c r="Q1" s="10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 customHeight="1" x14ac:dyDescent="0.25">
      <c r="A2" s="582" t="s">
        <v>179</v>
      </c>
      <c r="B2" s="25" t="s">
        <v>31</v>
      </c>
      <c r="C2" s="25"/>
      <c r="D2" s="26" t="s">
        <v>46</v>
      </c>
      <c r="E2" s="26"/>
      <c r="F2" s="27" t="s">
        <v>150</v>
      </c>
      <c r="G2" s="29"/>
      <c r="H2" s="25" t="s">
        <v>31</v>
      </c>
      <c r="I2" s="25"/>
      <c r="J2" s="26" t="s">
        <v>46</v>
      </c>
      <c r="K2" s="26"/>
      <c r="L2" s="28" t="s">
        <v>150</v>
      </c>
      <c r="M2" s="431" t="s">
        <v>23</v>
      </c>
      <c r="N2" s="25"/>
      <c r="O2" s="26" t="s">
        <v>26</v>
      </c>
      <c r="P2" s="26"/>
      <c r="Q2" s="106" t="s">
        <v>150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x14ac:dyDescent="0.25">
      <c r="A3" s="35" t="s">
        <v>25</v>
      </c>
      <c r="B3" s="10" t="s">
        <v>21</v>
      </c>
      <c r="C3" s="10" t="s">
        <v>22</v>
      </c>
      <c r="D3" s="11" t="s">
        <v>21</v>
      </c>
      <c r="E3" s="11" t="s">
        <v>22</v>
      </c>
      <c r="F3" s="12" t="s">
        <v>151</v>
      </c>
      <c r="G3" s="2"/>
      <c r="H3" s="10" t="s">
        <v>21</v>
      </c>
      <c r="I3" s="10" t="s">
        <v>22</v>
      </c>
      <c r="J3" s="11" t="s">
        <v>21</v>
      </c>
      <c r="K3" s="11" t="s">
        <v>22</v>
      </c>
      <c r="L3" s="12" t="s">
        <v>151</v>
      </c>
      <c r="M3" s="432" t="s">
        <v>21</v>
      </c>
      <c r="N3" s="80" t="s">
        <v>22</v>
      </c>
      <c r="O3" s="81" t="s">
        <v>21</v>
      </c>
      <c r="P3" s="81" t="s">
        <v>22</v>
      </c>
      <c r="Q3" s="107" t="s">
        <v>151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35" t="s">
        <v>19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"/>
      <c r="H4" s="42">
        <v>0</v>
      </c>
      <c r="I4" s="40">
        <v>0</v>
      </c>
      <c r="J4" s="40">
        <v>0</v>
      </c>
      <c r="K4" s="40">
        <v>0</v>
      </c>
      <c r="L4" s="429">
        <v>0</v>
      </c>
      <c r="M4" s="433"/>
      <c r="N4" s="82"/>
      <c r="O4" s="83"/>
      <c r="P4" s="83"/>
      <c r="Q4" s="10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5.0999999999999996" customHeight="1" x14ac:dyDescent="0.25">
      <c r="A5" s="18"/>
      <c r="B5" s="19"/>
      <c r="C5" s="19"/>
      <c r="D5" s="19"/>
      <c r="E5" s="19"/>
      <c r="F5" s="19"/>
      <c r="G5" s="2"/>
      <c r="H5" s="19"/>
      <c r="I5" s="19"/>
      <c r="J5" s="19"/>
      <c r="K5" s="19"/>
      <c r="L5" s="19"/>
      <c r="M5" s="434"/>
      <c r="N5" s="84"/>
      <c r="O5" s="84"/>
      <c r="P5" s="84"/>
      <c r="Q5" s="10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x14ac:dyDescent="0.25">
      <c r="A6" s="31" t="s">
        <v>342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55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435"/>
      <c r="N6" s="85"/>
      <c r="O6" s="86"/>
      <c r="P6" s="86"/>
      <c r="Q6" s="1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31" t="s">
        <v>343</v>
      </c>
      <c r="B7" s="567">
        <v>0</v>
      </c>
      <c r="C7" s="567">
        <v>0</v>
      </c>
      <c r="D7" s="567">
        <v>0</v>
      </c>
      <c r="E7" s="567">
        <v>0</v>
      </c>
      <c r="F7" s="567">
        <v>0</v>
      </c>
      <c r="G7" s="5"/>
      <c r="H7" s="567">
        <v>0</v>
      </c>
      <c r="I7" s="567">
        <v>0</v>
      </c>
      <c r="J7" s="567">
        <v>0</v>
      </c>
      <c r="K7" s="567">
        <v>0</v>
      </c>
      <c r="L7" s="567">
        <v>0</v>
      </c>
      <c r="M7" s="436"/>
      <c r="N7" s="88"/>
      <c r="O7" s="88"/>
      <c r="P7" s="88"/>
      <c r="Q7" s="11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32" t="s">
        <v>32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6"/>
      <c r="H8" s="39">
        <v>0.75</v>
      </c>
      <c r="I8" s="39">
        <v>0.75</v>
      </c>
      <c r="J8" s="39">
        <v>0.75</v>
      </c>
      <c r="K8" s="39">
        <v>0.75</v>
      </c>
      <c r="L8" s="446">
        <v>0.75</v>
      </c>
      <c r="M8" s="438"/>
      <c r="N8" s="89"/>
      <c r="O8" s="90"/>
      <c r="P8" s="90"/>
      <c r="Q8" s="1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3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436"/>
      <c r="N9" s="88"/>
      <c r="O9" s="88"/>
      <c r="P9" s="88"/>
      <c r="Q9" s="11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" customHeight="1" x14ac:dyDescent="0.25">
      <c r="A10" s="30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436"/>
      <c r="N10" s="88"/>
      <c r="O10" s="88"/>
      <c r="P10" s="88"/>
      <c r="Q10" s="11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572" t="s">
        <v>1</v>
      </c>
      <c r="B11" s="314">
        <f>IF(B$4&gt;0,X_Rice_MG!B11,0)</f>
        <v>0</v>
      </c>
      <c r="C11" s="314">
        <f>IF(C$4&gt;0,X_Rice_MG!C11,0)</f>
        <v>0</v>
      </c>
      <c r="D11" s="314">
        <f>IF(D$4&gt;0,X_Rice_MG!D11,0)</f>
        <v>0</v>
      </c>
      <c r="E11" s="314">
        <f>IF(E$4&gt;0,X_Rice_MG!E11,0)</f>
        <v>0</v>
      </c>
      <c r="F11" s="314">
        <f>IF(F$4&gt;0,X_Rice_MG!F11,0)</f>
        <v>0</v>
      </c>
      <c r="G11" s="5"/>
      <c r="H11" s="314">
        <f>IF(H$4&gt;0,X_Rice_MG!H11,0)*Rice_MG!M11</f>
        <v>0</v>
      </c>
      <c r="I11" s="314">
        <f>IF(I$4&gt;0,X_Rice_MG!I11,0)*Rice_MG!N11</f>
        <v>0</v>
      </c>
      <c r="J11" s="314">
        <f>IF(J$4&gt;0,X_Rice_MG!J11,0)*Rice_MG!O11</f>
        <v>0</v>
      </c>
      <c r="K11" s="314">
        <f>IF(K$4&gt;0,X_Rice_MG!K11,0)*Rice_MG!P11</f>
        <v>0</v>
      </c>
      <c r="L11" s="314">
        <f>IF(L$4&gt;0,X_Rice_MG!L11,0)*Rice_MG!Q11</f>
        <v>0</v>
      </c>
      <c r="M11" s="439">
        <v>1</v>
      </c>
      <c r="N11" s="118">
        <v>1</v>
      </c>
      <c r="O11" s="91">
        <v>1</v>
      </c>
      <c r="P11" s="91">
        <v>1</v>
      </c>
      <c r="Q11" s="21">
        <v>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572" t="s">
        <v>2</v>
      </c>
      <c r="B12" s="314">
        <f>IF(B$4&gt;0,X_Rice_MG!B12,0)</f>
        <v>0</v>
      </c>
      <c r="C12" s="314">
        <f>IF(C$4&gt;0,X_Rice_MG!C12,0)</f>
        <v>0</v>
      </c>
      <c r="D12" s="314">
        <f>IF(D$4&gt;0,X_Rice_MG!D12,0)</f>
        <v>0</v>
      </c>
      <c r="E12" s="314">
        <f>IF(E$4&gt;0,X_Rice_MG!E12,0)</f>
        <v>0</v>
      </c>
      <c r="F12" s="314">
        <f>IF(F$4&gt;0,X_Rice_MG!F12,0)</f>
        <v>0</v>
      </c>
      <c r="G12" s="5"/>
      <c r="H12" s="314">
        <f>IF(H$4&gt;0,X_Rice_MG!H12,0)*Rice_MG!M12</f>
        <v>0</v>
      </c>
      <c r="I12" s="314">
        <f>IF(I$4&gt;0,X_Rice_MG!I12,0)*Rice_MG!N12</f>
        <v>0</v>
      </c>
      <c r="J12" s="314">
        <f>IF(J$4&gt;0,X_Rice_MG!J12,0)*Rice_MG!O12</f>
        <v>0</v>
      </c>
      <c r="K12" s="314">
        <f>IF(K$4&gt;0,X_Rice_MG!K12,0)*Rice_MG!P12</f>
        <v>0</v>
      </c>
      <c r="L12" s="314">
        <f>IF(L$4&gt;0,X_Rice_MG!L12,0)*Rice_MG!Q12</f>
        <v>0</v>
      </c>
      <c r="M12" s="439">
        <v>1</v>
      </c>
      <c r="N12" s="118">
        <v>1</v>
      </c>
      <c r="O12" s="91">
        <v>1</v>
      </c>
      <c r="P12" s="91">
        <v>1</v>
      </c>
      <c r="Q12" s="21">
        <v>1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572" t="s">
        <v>3</v>
      </c>
      <c r="B13" s="314">
        <f>IF(B$4&gt;0,X_Rice_MG!B13,0)</f>
        <v>0</v>
      </c>
      <c r="C13" s="314">
        <f>IF(C$4&gt;0,X_Rice_MG!C13,0)</f>
        <v>0</v>
      </c>
      <c r="D13" s="314">
        <f>IF(D$4&gt;0,X_Rice_MG!D13,0)</f>
        <v>0</v>
      </c>
      <c r="E13" s="314">
        <f>IF(E$4&gt;0,X_Rice_MG!E13,0)</f>
        <v>0</v>
      </c>
      <c r="F13" s="314">
        <f>IF(F$4&gt;0,X_Rice_MG!F13,0)</f>
        <v>0</v>
      </c>
      <c r="G13" s="5"/>
      <c r="H13" s="314">
        <f>IF(H$4&gt;0,X_Rice_MG!H13,0)*Rice_MG!M13</f>
        <v>0</v>
      </c>
      <c r="I13" s="314">
        <f>IF(I$4&gt;0,X_Rice_MG!I13,0)*Rice_MG!N13</f>
        <v>0</v>
      </c>
      <c r="J13" s="314">
        <f>IF(J$4&gt;0,X_Rice_MG!J13,0)*Rice_MG!O13</f>
        <v>0</v>
      </c>
      <c r="K13" s="314">
        <f>IF(K$4&gt;0,X_Rice_MG!K13,0)*Rice_MG!P13</f>
        <v>0</v>
      </c>
      <c r="L13" s="314">
        <f>IF(L$4&gt;0,X_Rice_MG!L13,0)*Rice_MG!Q13</f>
        <v>0</v>
      </c>
      <c r="M13" s="439">
        <v>1</v>
      </c>
      <c r="N13" s="118">
        <v>1</v>
      </c>
      <c r="O13" s="91">
        <v>1</v>
      </c>
      <c r="P13" s="91">
        <v>1</v>
      </c>
      <c r="Q13" s="21">
        <v>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572" t="s">
        <v>4</v>
      </c>
      <c r="B14" s="314">
        <f>IF(B$4&gt;0,X_Rice_MG!B14,0)</f>
        <v>0</v>
      </c>
      <c r="C14" s="314">
        <f>IF(C$4&gt;0,X_Rice_MG!C14,0)</f>
        <v>0</v>
      </c>
      <c r="D14" s="314">
        <f>IF(D$4&gt;0,X_Rice_MG!D14,0)</f>
        <v>0</v>
      </c>
      <c r="E14" s="314">
        <f>IF(E$4&gt;0,X_Rice_MG!E14,0)</f>
        <v>0</v>
      </c>
      <c r="F14" s="314">
        <f>IF(F$4&gt;0,X_Rice_MG!F14,0)</f>
        <v>0</v>
      </c>
      <c r="G14" s="5"/>
      <c r="H14" s="314">
        <f>IF(H$4&gt;0,X_Rice_MG!H14,0)*Rice_MG!M14</f>
        <v>0</v>
      </c>
      <c r="I14" s="314">
        <f>IF(I$4&gt;0,X_Rice_MG!I14,0)*Rice_MG!N14</f>
        <v>0</v>
      </c>
      <c r="J14" s="314">
        <f>IF(J$4&gt;0,X_Rice_MG!J14,0)*Rice_MG!O14</f>
        <v>0</v>
      </c>
      <c r="K14" s="314">
        <f>IF(K$4&gt;0,X_Rice_MG!K14,0)*Rice_MG!P14</f>
        <v>0</v>
      </c>
      <c r="L14" s="314">
        <f>IF(L$4&gt;0,X_Rice_MG!L14,0)*Rice_MG!Q14</f>
        <v>0</v>
      </c>
      <c r="M14" s="439">
        <v>1</v>
      </c>
      <c r="N14" s="118">
        <v>1</v>
      </c>
      <c r="O14" s="91">
        <v>1</v>
      </c>
      <c r="P14" s="91">
        <v>1</v>
      </c>
      <c r="Q14" s="21">
        <v>1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x14ac:dyDescent="0.25">
      <c r="A15" s="572" t="s">
        <v>153</v>
      </c>
      <c r="B15" s="314">
        <f>IF(B$4&gt;0,X_Rice_MG!B15,0)</f>
        <v>0</v>
      </c>
      <c r="C15" s="314">
        <f>IF(C$4&gt;0,X_Rice_MG!C15,0)</f>
        <v>0</v>
      </c>
      <c r="D15" s="314">
        <f>IF(D$4&gt;0,X_Rice_MG!D15,0)</f>
        <v>0</v>
      </c>
      <c r="E15" s="314">
        <f>IF(E$4&gt;0,X_Rice_MG!E15,0)</f>
        <v>0</v>
      </c>
      <c r="F15" s="314">
        <f>IF(F$4&gt;0,X_Rice_MG!F15,0)</f>
        <v>0</v>
      </c>
      <c r="G15" s="5"/>
      <c r="H15" s="314">
        <f>IF(H$4&gt;0,X_Rice_MG!H15,0)*Rice_MG!M15</f>
        <v>0</v>
      </c>
      <c r="I15" s="314">
        <f>IF(I$4&gt;0,X_Rice_MG!I15,0)*Rice_MG!N15</f>
        <v>0</v>
      </c>
      <c r="J15" s="314">
        <f>IF(J$4&gt;0,X_Rice_MG!J15,0)*Rice_MG!O15</f>
        <v>0</v>
      </c>
      <c r="K15" s="314">
        <f>IF(K$4&gt;0,X_Rice_MG!K15,0)*Rice_MG!P15</f>
        <v>0</v>
      </c>
      <c r="L15" s="314">
        <f>IF(L$4&gt;0,X_Rice_MG!L15,0)*Rice_MG!Q15</f>
        <v>0</v>
      </c>
      <c r="M15" s="439">
        <v>1</v>
      </c>
      <c r="N15" s="91">
        <v>1</v>
      </c>
      <c r="O15" s="91">
        <v>1</v>
      </c>
      <c r="P15" s="91">
        <v>1</v>
      </c>
      <c r="Q15" s="21">
        <v>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572" t="s">
        <v>157</v>
      </c>
      <c r="B16" s="314">
        <f>IF(B$4&gt;0,X_Rice_MG!B16,0)</f>
        <v>0</v>
      </c>
      <c r="C16" s="314">
        <f>IF(C$4&gt;0,X_Rice_MG!C16,0)</f>
        <v>0</v>
      </c>
      <c r="D16" s="314">
        <f>IF(D$4&gt;0,X_Rice_MG!D16,0)</f>
        <v>0</v>
      </c>
      <c r="E16" s="314">
        <f>IF(E$4&gt;0,X_Rice_MG!E16,0)</f>
        <v>0</v>
      </c>
      <c r="F16" s="314">
        <f>IF(F$4&gt;0,X_Rice_MG!F16,0)</f>
        <v>0</v>
      </c>
      <c r="G16" s="5"/>
      <c r="H16" s="314">
        <f>IF(H$4&gt;0,X_Rice_MG!H16,0)*Rice_MG!M16</f>
        <v>0</v>
      </c>
      <c r="I16" s="314">
        <f>IF(I$4&gt;0,X_Rice_MG!I16,0)*Rice_MG!N16</f>
        <v>0</v>
      </c>
      <c r="J16" s="314">
        <f>IF(J$4&gt;0,X_Rice_MG!J16,0)*Rice_MG!O16</f>
        <v>0</v>
      </c>
      <c r="K16" s="314">
        <f>IF(K$4&gt;0,X_Rice_MG!K16,0)*Rice_MG!P16</f>
        <v>0</v>
      </c>
      <c r="L16" s="314">
        <f>IF(L$4&gt;0,X_Rice_MG!L16,0)*Rice_MG!Q16</f>
        <v>0</v>
      </c>
      <c r="M16" s="439">
        <v>1</v>
      </c>
      <c r="N16" s="91">
        <v>1</v>
      </c>
      <c r="O16" s="91">
        <v>1</v>
      </c>
      <c r="P16" s="91">
        <v>1</v>
      </c>
      <c r="Q16" s="21">
        <v>1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572" t="s">
        <v>5</v>
      </c>
      <c r="B17" s="314">
        <f>IF(B$4&gt;0,X_Rice_MG!B17,0)</f>
        <v>0</v>
      </c>
      <c r="C17" s="314">
        <f>IF(C$4&gt;0,X_Rice_MG!C17,0)</f>
        <v>0</v>
      </c>
      <c r="D17" s="314">
        <f>IF(D$4&gt;0,X_Rice_MG!D17,0)</f>
        <v>0</v>
      </c>
      <c r="E17" s="314">
        <f>IF(E$4&gt;0,X_Rice_MG!E17,0)</f>
        <v>0</v>
      </c>
      <c r="F17" s="314">
        <f>IF(F$4&gt;0,X_Rice_MG!F17,0)</f>
        <v>0</v>
      </c>
      <c r="G17" s="5"/>
      <c r="H17" s="314">
        <f>IF(H$4&gt;0,X_Rice_MG!H17,0)*Rice_MG!M17</f>
        <v>0</v>
      </c>
      <c r="I17" s="314">
        <f>IF(I$4&gt;0,X_Rice_MG!I17,0)*Rice_MG!N17</f>
        <v>0</v>
      </c>
      <c r="J17" s="314">
        <f>IF(J$4&gt;0,X_Rice_MG!J17,0)*Rice_MG!O17</f>
        <v>0</v>
      </c>
      <c r="K17" s="314">
        <f>IF(K$4&gt;0,X_Rice_MG!K17,0)*Rice_MG!P17</f>
        <v>0</v>
      </c>
      <c r="L17" s="314">
        <f>IF(L$4&gt;0,X_Rice_MG!L17,0)*Rice_MG!Q17</f>
        <v>0</v>
      </c>
      <c r="M17" s="439">
        <v>1</v>
      </c>
      <c r="N17" s="91">
        <v>1</v>
      </c>
      <c r="O17" s="91">
        <v>1</v>
      </c>
      <c r="P17" s="91">
        <v>1</v>
      </c>
      <c r="Q17" s="21">
        <v>1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5">
      <c r="A18" s="572" t="s">
        <v>154</v>
      </c>
      <c r="B18" s="314">
        <f>IF(B$4&gt;0,X_Rice_MG!B18,0)</f>
        <v>0</v>
      </c>
      <c r="C18" s="314">
        <f>IF(C$4&gt;0,X_Rice_MG!C18,0)</f>
        <v>0</v>
      </c>
      <c r="D18" s="314">
        <f>IF(D$4&gt;0,X_Rice_MG!D18,0)</f>
        <v>0</v>
      </c>
      <c r="E18" s="314">
        <f>IF(E$4&gt;0,X_Rice_MG!E18,0)</f>
        <v>0</v>
      </c>
      <c r="F18" s="314">
        <f>IF(F$4&gt;0,X_Rice_MG!F18,0)</f>
        <v>0</v>
      </c>
      <c r="G18" s="5"/>
      <c r="H18" s="314">
        <f>IF(H$4&gt;0,X_Rice_MG!H18,0)*Rice_MG!M18</f>
        <v>0</v>
      </c>
      <c r="I18" s="314">
        <f>IF(I$4&gt;0,X_Rice_MG!I18,0)*Rice_MG!N18</f>
        <v>0</v>
      </c>
      <c r="J18" s="314">
        <f>IF(J$4&gt;0,X_Rice_MG!J18,0)*Rice_MG!O18</f>
        <v>0</v>
      </c>
      <c r="K18" s="314">
        <f>IF(K$4&gt;0,X_Rice_MG!K18,0)*Rice_MG!P18</f>
        <v>0</v>
      </c>
      <c r="L18" s="314">
        <f>IF(L$4&gt;0,X_Rice_MG!L18,0)*Rice_MG!Q18</f>
        <v>0</v>
      </c>
      <c r="M18" s="439">
        <v>1</v>
      </c>
      <c r="N18" s="91">
        <v>1</v>
      </c>
      <c r="O18" s="91">
        <v>1</v>
      </c>
      <c r="P18" s="91">
        <v>1</v>
      </c>
      <c r="Q18" s="21"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5">
      <c r="A19" s="572" t="s">
        <v>155</v>
      </c>
      <c r="B19" s="314">
        <f>IF(B$4&gt;0,X_Rice_MG!B19,0)</f>
        <v>0</v>
      </c>
      <c r="C19" s="314">
        <f>IF(C$4&gt;0,X_Rice_MG!C19,0)</f>
        <v>0</v>
      </c>
      <c r="D19" s="314">
        <f>IF(D$4&gt;0,X_Rice_MG!D19,0)</f>
        <v>0</v>
      </c>
      <c r="E19" s="314">
        <f>IF(E$4&gt;0,X_Rice_MG!E19,0)</f>
        <v>0</v>
      </c>
      <c r="F19" s="314">
        <f>IF(F$4&gt;0,X_Rice_MG!F19,0)</f>
        <v>0</v>
      </c>
      <c r="G19" s="5"/>
      <c r="H19" s="314">
        <f>IF(H$4&gt;0,X_Rice_MG!H19,0)*Rice_MG!M19</f>
        <v>0</v>
      </c>
      <c r="I19" s="314">
        <f>IF(I$4&gt;0,X_Rice_MG!I19,0)*Rice_MG!N19</f>
        <v>0</v>
      </c>
      <c r="J19" s="314">
        <f>IF(J$4&gt;0,X_Rice_MG!J19,0)*Rice_MG!O19</f>
        <v>0</v>
      </c>
      <c r="K19" s="314">
        <f>IF(K$4&gt;0,X_Rice_MG!K19,0)*Rice_MG!P19</f>
        <v>0</v>
      </c>
      <c r="L19" s="314">
        <f>IF(L$4&gt;0,X_Rice_MG!L19,0)*Rice_MG!Q19</f>
        <v>0</v>
      </c>
      <c r="M19" s="439">
        <v>1</v>
      </c>
      <c r="N19" s="91">
        <v>1</v>
      </c>
      <c r="O19" s="91">
        <v>1</v>
      </c>
      <c r="P19" s="91">
        <v>1</v>
      </c>
      <c r="Q19" s="21"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5">
      <c r="A20" s="572" t="s">
        <v>156</v>
      </c>
      <c r="B20" s="314">
        <f>IF(B$4&gt;0,X_Rice_MG!B20,0)</f>
        <v>0</v>
      </c>
      <c r="C20" s="314">
        <f>IF(C$4&gt;0,X_Rice_MG!C20,0)</f>
        <v>0</v>
      </c>
      <c r="D20" s="314">
        <f>IF(D$4&gt;0,X_Rice_MG!D20,0)</f>
        <v>0</v>
      </c>
      <c r="E20" s="314">
        <f>IF(E$4&gt;0,X_Rice_MG!E20,0)</f>
        <v>0</v>
      </c>
      <c r="F20" s="314">
        <f>IF(F$4&gt;0,X_Rice_MG!F20,0)</f>
        <v>0</v>
      </c>
      <c r="G20" s="5"/>
      <c r="H20" s="314">
        <f>IF(H$4&gt;0,X_Rice_MG!H20,0)*Rice_MG!M20</f>
        <v>0</v>
      </c>
      <c r="I20" s="314">
        <f>IF(I$4&gt;0,X_Rice_MG!I20,0)*Rice_MG!N20</f>
        <v>0</v>
      </c>
      <c r="J20" s="314">
        <f>IF(J$4&gt;0,X_Rice_MG!J20,0)*Rice_MG!O20</f>
        <v>0</v>
      </c>
      <c r="K20" s="314">
        <f>IF(K$4&gt;0,X_Rice_MG!K20,0)*Rice_MG!P20</f>
        <v>0</v>
      </c>
      <c r="L20" s="314">
        <f>IF(L$4&gt;0,X_Rice_MG!L20,0)*Rice_MG!Q20</f>
        <v>0</v>
      </c>
      <c r="M20" s="439">
        <v>1</v>
      </c>
      <c r="N20" s="91">
        <v>1</v>
      </c>
      <c r="O20" s="91">
        <v>1</v>
      </c>
      <c r="P20" s="91">
        <v>1</v>
      </c>
      <c r="Q20" s="21">
        <v>1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572" t="s">
        <v>42</v>
      </c>
      <c r="B21" s="314">
        <f>IF(B$4&gt;0,X_Rice_MG!B21,0)</f>
        <v>0</v>
      </c>
      <c r="C21" s="314">
        <f>IF(C$4&gt;0,X_Rice_MG!C21,0)</f>
        <v>0</v>
      </c>
      <c r="D21" s="314">
        <f>IF(D$4&gt;0,X_Rice_MG!D21,0)</f>
        <v>0</v>
      </c>
      <c r="E21" s="314">
        <f>IF(E$4&gt;0,X_Rice_MG!E21,0)</f>
        <v>0</v>
      </c>
      <c r="F21" s="314">
        <f>IF(F$4&gt;0,X_Rice_MG!F21,0)</f>
        <v>0</v>
      </c>
      <c r="G21" s="5"/>
      <c r="H21" s="314">
        <f>IF(H$4&gt;0,X_Rice_MG!H21,0)*Rice_MG!M21</f>
        <v>0</v>
      </c>
      <c r="I21" s="314">
        <f>IF(I$4&gt;0,X_Rice_MG!I21,0)*Rice_MG!N21</f>
        <v>0</v>
      </c>
      <c r="J21" s="314">
        <f>IF(J$4&gt;0,X_Rice_MG!J21,0)*Rice_MG!O21</f>
        <v>0</v>
      </c>
      <c r="K21" s="314">
        <f>IF(K$4&gt;0,X_Rice_MG!K21,0)*Rice_MG!P21</f>
        <v>0</v>
      </c>
      <c r="L21" s="314">
        <f>IF(L$4&gt;0,X_Rice_MG!L21,0)*Rice_MG!Q21</f>
        <v>0</v>
      </c>
      <c r="M21" s="439">
        <v>1</v>
      </c>
      <c r="N21" s="91">
        <v>1</v>
      </c>
      <c r="O21" s="91">
        <v>1</v>
      </c>
      <c r="P21" s="91">
        <v>1</v>
      </c>
      <c r="Q21" s="21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572" t="s">
        <v>6</v>
      </c>
      <c r="B22" s="314">
        <f>SUM(B11:B21)*(('Farm Costs &amp; Returns'!$B$27/100)*'Farm Costs &amp; Returns'!$B$28)</f>
        <v>0</v>
      </c>
      <c r="C22" s="314">
        <f>SUM(C11:C21)*(('Farm Costs &amp; Returns'!$B$27/100)*'Farm Costs &amp; Returns'!$B$28)</f>
        <v>0</v>
      </c>
      <c r="D22" s="314">
        <f>SUM(D11:D21)*(('Farm Costs &amp; Returns'!$B$27/100)*'Farm Costs &amp; Returns'!$B$28)</f>
        <v>0</v>
      </c>
      <c r="E22" s="314">
        <f>SUM(E11:E21)*(('Farm Costs &amp; Returns'!$B$27/100)*'Farm Costs &amp; Returns'!$B$28)</f>
        <v>0</v>
      </c>
      <c r="F22" s="314">
        <f>SUM(F11:F21)*(('Farm Costs &amp; Returns'!$B$27/100)*'Farm Costs &amp; Returns'!$B$28)</f>
        <v>0</v>
      </c>
      <c r="G22" s="5"/>
      <c r="H22" s="314">
        <f>SUM(H11:H21)*(('Farm Costs &amp; Returns'!$B$27/100)*'Farm Costs &amp; Returns'!$B$28)</f>
        <v>0</v>
      </c>
      <c r="I22" s="314">
        <f>SUM(I11:I21)*(('Farm Costs &amp; Returns'!$B$27/100)*'Farm Costs &amp; Returns'!$B$28)</f>
        <v>0</v>
      </c>
      <c r="J22" s="314">
        <f>SUM(J11:J21)*(('Farm Costs &amp; Returns'!$B$27/100)*'Farm Costs &amp; Returns'!$B$28)</f>
        <v>0</v>
      </c>
      <c r="K22" s="314">
        <f>SUM(K11:K21)*(('Farm Costs &amp; Returns'!$B$27/100)*'Farm Costs &amp; Returns'!$B$28)</f>
        <v>0</v>
      </c>
      <c r="L22" s="314">
        <f>SUM(L11:L21)*(('Farm Costs &amp; Returns'!$B$27/100)*'Farm Costs &amp; Returns'!$B$28)</f>
        <v>0</v>
      </c>
      <c r="M22" s="439">
        <v>1</v>
      </c>
      <c r="N22" s="91">
        <v>1</v>
      </c>
      <c r="O22" s="91">
        <v>1</v>
      </c>
      <c r="P22" s="91">
        <v>1</v>
      </c>
      <c r="Q22" s="21"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572" t="s">
        <v>7</v>
      </c>
      <c r="B23" s="314">
        <f>IF(B$4&gt;0,X_Rice_MG!B23,0)</f>
        <v>0</v>
      </c>
      <c r="C23" s="314">
        <f>IF(C$4&gt;0,X_Rice_MG!C23,0)</f>
        <v>0</v>
      </c>
      <c r="D23" s="314">
        <f>IF(D$4&gt;0,X_Rice_MG!D23,0)</f>
        <v>0</v>
      </c>
      <c r="E23" s="314">
        <f>IF(E$4&gt;0,X_Rice_MG!E23,0)</f>
        <v>0</v>
      </c>
      <c r="F23" s="314">
        <f>IF(F$4&gt;0,X_Rice_MG!F23,0)</f>
        <v>0</v>
      </c>
      <c r="G23" s="5"/>
      <c r="H23" s="314">
        <f>IF(H$4&gt;0,X_Rice_MG!H23,0)*Rice_MG!M23</f>
        <v>0</v>
      </c>
      <c r="I23" s="314">
        <f>IF(I$4&gt;0,X_Rice_MG!I23,0)*Rice_MG!N23</f>
        <v>0</v>
      </c>
      <c r="J23" s="314">
        <f>IF(J$4&gt;0,X_Rice_MG!J23,0)*Rice_MG!O23</f>
        <v>0</v>
      </c>
      <c r="K23" s="314">
        <f>IF(K$4&gt;0,X_Rice_MG!K23,0)*Rice_MG!P23</f>
        <v>0</v>
      </c>
      <c r="L23" s="314">
        <f>IF(L$4&gt;0,X_Rice_MG!L23,0)*Rice_MG!Q23</f>
        <v>0</v>
      </c>
      <c r="M23" s="439">
        <v>1</v>
      </c>
      <c r="N23" s="91">
        <v>1</v>
      </c>
      <c r="O23" s="91">
        <v>1</v>
      </c>
      <c r="P23" s="91">
        <v>1</v>
      </c>
      <c r="Q23" s="21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572" t="s">
        <v>8</v>
      </c>
      <c r="B24" s="314">
        <f>IF(B$4&gt;0,(X_Rice_MG!B24/X_Rice_MG!B$6)*B$6,0)</f>
        <v>0</v>
      </c>
      <c r="C24" s="314">
        <f>IF(C$4&gt;0,(X_Rice_MG!C24/X_Rice_MG!C$6)*C$6,0)</f>
        <v>0</v>
      </c>
      <c r="D24" s="314">
        <f>IF(D$4&gt;0,(X_Rice_MG!D24/X_Rice_MG!D$6)*D$6,0)</f>
        <v>0</v>
      </c>
      <c r="E24" s="314">
        <f>IF(E$4&gt;0,(X_Rice_MG!E24/X_Rice_MG!E$6)*E$6,0)</f>
        <v>0</v>
      </c>
      <c r="F24" s="314">
        <f>IF(F$4&gt;0,(X_Rice_MG!F24/X_Rice_MG!F$6)*F$6,0)</f>
        <v>0</v>
      </c>
      <c r="G24" s="5"/>
      <c r="H24" s="314">
        <f>IF(H$4&gt;0,(X_Rice_MG!H24/X_Rice_MG!H$6)*H$6,0)*Rice_MG!M24</f>
        <v>0</v>
      </c>
      <c r="I24" s="314">
        <f>IF(I$4&gt;0,(X_Rice_MG!I24/X_Rice_MG!I$6)*I$6,0)*Rice_MG!N24</f>
        <v>0</v>
      </c>
      <c r="J24" s="314">
        <f>IF(J$4&gt;0,(X_Rice_MG!J24/X_Rice_MG!J$6)*J$6,0)*Rice_MG!O24</f>
        <v>0</v>
      </c>
      <c r="K24" s="314">
        <f>IF(K$4&gt;0,(X_Rice_MG!K24/X_Rice_MG!K$6)*K$6,0)*Rice_MG!P24</f>
        <v>0</v>
      </c>
      <c r="L24" s="314">
        <f>IF(L$4&gt;0,(X_Rice_MG!L24/X_Rice_MG!L$6)*L$6,0)*Rice_MG!Q24</f>
        <v>0</v>
      </c>
      <c r="M24" s="439">
        <v>1</v>
      </c>
      <c r="N24" s="91">
        <v>1</v>
      </c>
      <c r="O24" s="91">
        <v>1</v>
      </c>
      <c r="P24" s="91">
        <v>1</v>
      </c>
      <c r="Q24" s="21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572" t="s">
        <v>9</v>
      </c>
      <c r="B25" s="314">
        <f>IF(B$4&gt;0,0.0135*B$6,0)</f>
        <v>0</v>
      </c>
      <c r="C25" s="314">
        <f t="shared" ref="C25:F25" si="0">IF(C$4&gt;0,0.0135*C$6,0)</f>
        <v>0</v>
      </c>
      <c r="D25" s="314">
        <f t="shared" si="0"/>
        <v>0</v>
      </c>
      <c r="E25" s="314">
        <f t="shared" si="0"/>
        <v>0</v>
      </c>
      <c r="F25" s="314">
        <f t="shared" si="0"/>
        <v>0</v>
      </c>
      <c r="G25" s="5"/>
      <c r="H25" s="314">
        <f>IF(H$4&gt;0,0.0135*H$6,0)*Rice_MG!M25</f>
        <v>0</v>
      </c>
      <c r="I25" s="314">
        <f>IF(I$4&gt;0,0.0135*I$6,0)*Rice_MG!N25</f>
        <v>0</v>
      </c>
      <c r="J25" s="314">
        <f>IF(J$4&gt;0,0.0135*J$6,0)*Rice_MG!O25</f>
        <v>0</v>
      </c>
      <c r="K25" s="314">
        <f>IF(K$4&gt;0,0.0135*K$6,0)*Rice_MG!P25</f>
        <v>0</v>
      </c>
      <c r="L25" s="314">
        <f>IF(L$4&gt;0,0.0135*L$6,0)*Rice_MG!Q25</f>
        <v>0</v>
      </c>
      <c r="M25" s="439">
        <v>1</v>
      </c>
      <c r="N25" s="91">
        <v>1</v>
      </c>
      <c r="O25" s="91">
        <v>1</v>
      </c>
      <c r="P25" s="91">
        <v>1</v>
      </c>
      <c r="Q25" s="21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572" t="s">
        <v>10</v>
      </c>
      <c r="B26" s="191">
        <f>IF(B$4&gt;0,X_Rice_MG!B26,0)</f>
        <v>0</v>
      </c>
      <c r="C26" s="191">
        <f>IF(C$4&gt;0,X_Rice_MG!C26,0)</f>
        <v>0</v>
      </c>
      <c r="D26" s="191">
        <f>IF(D$4&gt;0,X_Rice_MG!D26,0)</f>
        <v>0</v>
      </c>
      <c r="E26" s="191">
        <f>IF(E$4&gt;0,X_Rice_MG!E26,0)</f>
        <v>0</v>
      </c>
      <c r="F26" s="191">
        <f>IF(F$4&gt;0,X_Rice_MG!F26,0)</f>
        <v>0</v>
      </c>
      <c r="G26" s="5"/>
      <c r="H26" s="270">
        <f>IF(H$4&gt;0,X_Rice_MG!H26,0)</f>
        <v>0</v>
      </c>
      <c r="I26" s="270">
        <f>IF(I$4&gt;0,X_Rice_MG!I26,0)</f>
        <v>0</v>
      </c>
      <c r="J26" s="562">
        <f>IF(J$4&gt;0,X_Rice_MG!J26,0)</f>
        <v>0</v>
      </c>
      <c r="K26" s="562">
        <f>IF(K$4&gt;0,X_Rice_MG!K26,0)</f>
        <v>0</v>
      </c>
      <c r="L26" s="563">
        <f>IF(L$4&gt;0,X_Rice_MG!L26,0)</f>
        <v>0</v>
      </c>
      <c r="M26" s="441"/>
      <c r="N26" s="90"/>
      <c r="O26" s="90"/>
      <c r="P26" s="90"/>
      <c r="Q26" s="1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5.0999999999999996" customHeight="1" x14ac:dyDescent="0.25">
      <c r="A27" s="16"/>
      <c r="B27" s="17"/>
      <c r="C27" s="17"/>
      <c r="D27" s="17"/>
      <c r="E27" s="17"/>
      <c r="F27" s="17"/>
      <c r="G27" s="5"/>
      <c r="H27" s="17"/>
      <c r="I27" s="17"/>
      <c r="J27" s="17"/>
      <c r="K27" s="17"/>
      <c r="L27" s="17"/>
      <c r="M27" s="442"/>
      <c r="N27" s="57"/>
      <c r="O27" s="57"/>
      <c r="P27" s="57"/>
      <c r="Q27" s="39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573" t="s">
        <v>11</v>
      </c>
      <c r="B28" s="314">
        <f>IF(B$4&gt;0,X_Rice_MG!B28,0)</f>
        <v>0</v>
      </c>
      <c r="C28" s="314">
        <f>IF(C$4&gt;0,X_Rice_MG!C28,0)</f>
        <v>0</v>
      </c>
      <c r="D28" s="314">
        <f>IF(D$4&gt;0,X_Rice_MG!D28,0)</f>
        <v>0</v>
      </c>
      <c r="E28" s="314">
        <f>IF(E$4&gt;0,X_Rice_MG!E28,0)</f>
        <v>0</v>
      </c>
      <c r="F28" s="314">
        <f>IF(F$4&gt;0,X_Rice_MG!F28,0)</f>
        <v>0</v>
      </c>
      <c r="G28" s="5"/>
      <c r="H28" s="314">
        <f>IF(H$4&gt;0,X_Rice_MG!H28,0)</f>
        <v>0</v>
      </c>
      <c r="I28" s="314">
        <f>IF(I$4&gt;0,X_Rice_MG!I28,0)</f>
        <v>0</v>
      </c>
      <c r="J28" s="314">
        <f>IF(J$4&gt;0,X_Rice_MG!J28,0)</f>
        <v>0</v>
      </c>
      <c r="K28" s="314">
        <f>IF(K$4&gt;0,X_Rice_MG!K28,0)</f>
        <v>0</v>
      </c>
      <c r="L28" s="314">
        <f>IF(L$4&gt;0,X_Rice_MG!L28,0)</f>
        <v>0</v>
      </c>
      <c r="M28" s="442"/>
      <c r="N28" s="57"/>
      <c r="O28" s="57"/>
      <c r="P28" s="57"/>
      <c r="Q28" s="39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573" t="s">
        <v>12</v>
      </c>
      <c r="B29" s="314">
        <f>IF(B$4&gt;0,X_Rice_MG!B29,0)</f>
        <v>0</v>
      </c>
      <c r="C29" s="314">
        <f>IF(C$4&gt;0,X_Rice_MG!C29,0)</f>
        <v>0</v>
      </c>
      <c r="D29" s="314">
        <f>IF(D$4&gt;0,X_Rice_MG!D29,0)</f>
        <v>0</v>
      </c>
      <c r="E29" s="314">
        <f>IF(E$4&gt;0,X_Rice_MG!E29,0)</f>
        <v>0</v>
      </c>
      <c r="F29" s="314">
        <f>IF(F$4&gt;0,X_Rice_MG!F29,0)</f>
        <v>0</v>
      </c>
      <c r="G29" s="5"/>
      <c r="H29" s="314">
        <f>IF(H$4&gt;0,X_Rice_MG!H29,0)</f>
        <v>0</v>
      </c>
      <c r="I29" s="314">
        <f>IF(I$4&gt;0,X_Rice_MG!I29,0)</f>
        <v>0</v>
      </c>
      <c r="J29" s="314">
        <f>IF(J$4&gt;0,X_Rice_MG!J29,0)</f>
        <v>0</v>
      </c>
      <c r="K29" s="314">
        <f>IF(K$4&gt;0,X_Rice_MG!K29,0)</f>
        <v>0</v>
      </c>
      <c r="L29" s="314">
        <f>IF(L$4&gt;0,X_Rice_MG!L29,0)</f>
        <v>0</v>
      </c>
      <c r="M29" s="442"/>
      <c r="N29" s="57"/>
      <c r="O29" s="57"/>
      <c r="P29" s="57"/>
      <c r="Q29" s="39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573" t="s">
        <v>13</v>
      </c>
      <c r="B30" s="314">
        <f>IF(B$4&gt;0,X_Rice_MG!B30,0)</f>
        <v>0</v>
      </c>
      <c r="C30" s="314">
        <f>IF(C$4&gt;0,X_Rice_MG!C30,0)</f>
        <v>0</v>
      </c>
      <c r="D30" s="314">
        <f>IF(D$4&gt;0,X_Rice_MG!D30,0)</f>
        <v>0</v>
      </c>
      <c r="E30" s="314">
        <f>IF(E$4&gt;0,X_Rice_MG!E30,0)</f>
        <v>0</v>
      </c>
      <c r="F30" s="314">
        <f>IF(F$4&gt;0,X_Rice_MG!F30,0)</f>
        <v>0</v>
      </c>
      <c r="G30" s="5"/>
      <c r="H30" s="314">
        <f>IF(H$4&gt;0,X_Rice_MG!H30,0)</f>
        <v>0</v>
      </c>
      <c r="I30" s="314">
        <f>IF(I$4&gt;0,X_Rice_MG!I30,0)</f>
        <v>0</v>
      </c>
      <c r="J30" s="314">
        <f>IF(J$4&gt;0,X_Rice_MG!J30,0)</f>
        <v>0</v>
      </c>
      <c r="K30" s="314">
        <f>IF(K$4&gt;0,X_Rice_MG!K30,0)</f>
        <v>0</v>
      </c>
      <c r="L30" s="314">
        <f>IF(L$4&gt;0,X_Rice_MG!L30,0)</f>
        <v>0</v>
      </c>
      <c r="M30" s="442"/>
      <c r="N30" s="57"/>
      <c r="O30" s="57"/>
      <c r="P30" s="57"/>
      <c r="Q30" s="39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5.0999999999999996" customHeight="1" x14ac:dyDescent="0.25">
      <c r="A31" s="20"/>
      <c r="B31" s="17"/>
      <c r="C31" s="17"/>
      <c r="D31" s="17"/>
      <c r="E31" s="17"/>
      <c r="F31" s="17"/>
      <c r="G31" s="5"/>
      <c r="H31" s="17"/>
      <c r="I31" s="17"/>
      <c r="J31" s="17"/>
      <c r="K31" s="17"/>
      <c r="L31" s="17"/>
      <c r="M31" s="442"/>
      <c r="N31" s="57"/>
      <c r="O31" s="57"/>
      <c r="P31" s="57"/>
      <c r="Q31" s="390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" customHeight="1" x14ac:dyDescent="0.25">
      <c r="A32" s="306" t="s">
        <v>145</v>
      </c>
      <c r="B32" s="315">
        <f>((X_Rice_MG!B32*0.2*B4)/1000)*'Farm Costs &amp; Returns'!$I$13</f>
        <v>0</v>
      </c>
      <c r="C32" s="315">
        <f>((X_Rice_MG!C32*0.2*C4)/1000)*'Farm Costs &amp; Returns'!$I$13</f>
        <v>0</v>
      </c>
      <c r="D32" s="315">
        <f>((X_Rice_MG!D32*0.2*D4)/1000)*'Farm Costs &amp; Returns'!$I$13</f>
        <v>0</v>
      </c>
      <c r="E32" s="315">
        <f>((X_Rice_MG!E32*0.2*E4)/1000)*'Farm Costs &amp; Returns'!$I$13</f>
        <v>0</v>
      </c>
      <c r="F32" s="315">
        <f>((X_Rice_MG!F32*0.2*F4)/1000)*'Farm Costs &amp; Returns'!$I$13</f>
        <v>0</v>
      </c>
      <c r="G32" s="5"/>
      <c r="H32" s="307"/>
      <c r="I32" s="307"/>
      <c r="J32" s="307"/>
      <c r="K32" s="307"/>
      <c r="L32" s="307"/>
      <c r="M32" s="443">
        <f>SUM(B32:F32)</f>
        <v>0</v>
      </c>
      <c r="N32" s="57"/>
      <c r="O32" s="57"/>
      <c r="P32" s="57"/>
      <c r="Q32" s="39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" customHeight="1" x14ac:dyDescent="0.25">
      <c r="A33" s="573" t="s">
        <v>51</v>
      </c>
      <c r="B33" s="315">
        <f>(B4*B6*B7*B8)-(B4*B26)</f>
        <v>0</v>
      </c>
      <c r="C33" s="315">
        <f t="shared" ref="C33:F33" si="1">(C4*C6*C7*C8)-(C4*C26)</f>
        <v>0</v>
      </c>
      <c r="D33" s="315">
        <f t="shared" si="1"/>
        <v>0</v>
      </c>
      <c r="E33" s="315">
        <f t="shared" si="1"/>
        <v>0</v>
      </c>
      <c r="F33" s="315">
        <f t="shared" si="1"/>
        <v>0</v>
      </c>
      <c r="G33" s="5"/>
      <c r="H33" s="315">
        <f>(H4*H6*H7*H8)-(H4*H26)</f>
        <v>0</v>
      </c>
      <c r="I33" s="315">
        <f t="shared" ref="I33:L33" si="2">(I4*I6*I7*I8)-(I4*I26)</f>
        <v>0</v>
      </c>
      <c r="J33" s="315">
        <f t="shared" si="2"/>
        <v>0</v>
      </c>
      <c r="K33" s="315">
        <f t="shared" si="2"/>
        <v>0</v>
      </c>
      <c r="L33" s="315">
        <f t="shared" si="2"/>
        <v>0</v>
      </c>
      <c r="M33" s="443">
        <f t="shared" ref="M33:M38" si="3">SUM(B33:F33)+SUM(H33:L33)</f>
        <v>0</v>
      </c>
      <c r="N33" s="57"/>
      <c r="O33" s="57"/>
      <c r="P33" s="57"/>
      <c r="Q33" s="390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" customHeight="1" x14ac:dyDescent="0.25">
      <c r="A34" s="573" t="s">
        <v>152</v>
      </c>
      <c r="B34" s="315">
        <f>B4*(SUM(B11:B17))</f>
        <v>0</v>
      </c>
      <c r="C34" s="315">
        <f t="shared" ref="C34:F34" si="4">C4*(SUM(C11:C17))</f>
        <v>0</v>
      </c>
      <c r="D34" s="315">
        <f t="shared" si="4"/>
        <v>0</v>
      </c>
      <c r="E34" s="315">
        <f t="shared" si="4"/>
        <v>0</v>
      </c>
      <c r="F34" s="315">
        <f t="shared" si="4"/>
        <v>0</v>
      </c>
      <c r="G34" s="5"/>
      <c r="H34" s="315">
        <f>H4*(SUM(H11:H17))</f>
        <v>0</v>
      </c>
      <c r="I34" s="315">
        <f t="shared" ref="I34:L34" si="5">I4*(SUM(I11:I17))</f>
        <v>0</v>
      </c>
      <c r="J34" s="315">
        <f t="shared" si="5"/>
        <v>0</v>
      </c>
      <c r="K34" s="315">
        <f t="shared" si="5"/>
        <v>0</v>
      </c>
      <c r="L34" s="315">
        <f t="shared" si="5"/>
        <v>0</v>
      </c>
      <c r="M34" s="443">
        <f t="shared" si="3"/>
        <v>0</v>
      </c>
      <c r="N34" s="57"/>
      <c r="O34" s="57"/>
      <c r="P34" s="57"/>
      <c r="Q34" s="39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573" t="s">
        <v>14</v>
      </c>
      <c r="B35" s="315">
        <f>B4*SUM(B11:B21)</f>
        <v>0</v>
      </c>
      <c r="C35" s="315">
        <f t="shared" ref="C35:F35" si="6">C4*SUM(C11:C21)</f>
        <v>0</v>
      </c>
      <c r="D35" s="315">
        <f t="shared" si="6"/>
        <v>0</v>
      </c>
      <c r="E35" s="315">
        <f t="shared" si="6"/>
        <v>0</v>
      </c>
      <c r="F35" s="315">
        <f t="shared" si="6"/>
        <v>0</v>
      </c>
      <c r="G35" s="5"/>
      <c r="H35" s="315">
        <f>H4*SUM(H11:H21)</f>
        <v>0</v>
      </c>
      <c r="I35" s="315">
        <f t="shared" ref="I35:L35" si="7">I4*SUM(I11:I21)</f>
        <v>0</v>
      </c>
      <c r="J35" s="315">
        <f t="shared" si="7"/>
        <v>0</v>
      </c>
      <c r="K35" s="315">
        <f t="shared" si="7"/>
        <v>0</v>
      </c>
      <c r="L35" s="315">
        <f t="shared" si="7"/>
        <v>0</v>
      </c>
      <c r="M35" s="443">
        <f t="shared" si="3"/>
        <v>0</v>
      </c>
      <c r="N35" s="57"/>
      <c r="O35" s="57"/>
      <c r="P35" s="57"/>
      <c r="Q35" s="39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573" t="s">
        <v>15</v>
      </c>
      <c r="B36" s="315">
        <f>B4*(SUM(B11:B21)+SUM(B22:B25))</f>
        <v>0</v>
      </c>
      <c r="C36" s="315">
        <f t="shared" ref="C36:F36" si="8">C4*(SUM(C11:C21)+SUM(C22:C25))</f>
        <v>0</v>
      </c>
      <c r="D36" s="315">
        <f t="shared" si="8"/>
        <v>0</v>
      </c>
      <c r="E36" s="315">
        <f t="shared" si="8"/>
        <v>0</v>
      </c>
      <c r="F36" s="315">
        <f t="shared" si="8"/>
        <v>0</v>
      </c>
      <c r="G36" s="5"/>
      <c r="H36" s="315">
        <f>H4*(SUM(H11:H21)+SUM(H22:H25))</f>
        <v>0</v>
      </c>
      <c r="I36" s="315">
        <f t="shared" ref="I36:L36" si="9">I4*(SUM(I11:I21)+SUM(I22:I25))</f>
        <v>0</v>
      </c>
      <c r="J36" s="315">
        <f t="shared" si="9"/>
        <v>0</v>
      </c>
      <c r="K36" s="315">
        <f t="shared" si="9"/>
        <v>0</v>
      </c>
      <c r="L36" s="315">
        <f t="shared" si="9"/>
        <v>0</v>
      </c>
      <c r="M36" s="443">
        <f t="shared" si="3"/>
        <v>0</v>
      </c>
      <c r="N36" s="57"/>
      <c r="O36" s="57"/>
      <c r="P36" s="57"/>
      <c r="Q36" s="39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574" t="s">
        <v>158</v>
      </c>
      <c r="B37" s="315">
        <f>B4*SUM(B28:B30)</f>
        <v>0</v>
      </c>
      <c r="C37" s="315">
        <f t="shared" ref="C37:F37" si="10">C4*SUM(C28:C30)</f>
        <v>0</v>
      </c>
      <c r="D37" s="315">
        <f t="shared" si="10"/>
        <v>0</v>
      </c>
      <c r="E37" s="315">
        <f t="shared" si="10"/>
        <v>0</v>
      </c>
      <c r="F37" s="315">
        <f t="shared" si="10"/>
        <v>0</v>
      </c>
      <c r="G37" s="5"/>
      <c r="H37" s="315">
        <f>H4*SUM(H28:H30)</f>
        <v>0</v>
      </c>
      <c r="I37" s="315">
        <f t="shared" ref="I37:L37" si="11">I4*SUM(I28:I30)</f>
        <v>0</v>
      </c>
      <c r="J37" s="315">
        <f t="shared" si="11"/>
        <v>0</v>
      </c>
      <c r="K37" s="315">
        <f t="shared" si="11"/>
        <v>0</v>
      </c>
      <c r="L37" s="315">
        <f t="shared" si="11"/>
        <v>0</v>
      </c>
      <c r="M37" s="443">
        <f t="shared" si="3"/>
        <v>0</v>
      </c>
      <c r="N37" s="57"/>
      <c r="O37" s="57"/>
      <c r="P37" s="57"/>
      <c r="Q37" s="39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571" t="s">
        <v>17</v>
      </c>
      <c r="B38" s="315">
        <f>SUM(B36:B37)</f>
        <v>0</v>
      </c>
      <c r="C38" s="315">
        <f t="shared" ref="C38:F38" si="12">SUM(C36:C37)</f>
        <v>0</v>
      </c>
      <c r="D38" s="315">
        <f t="shared" si="12"/>
        <v>0</v>
      </c>
      <c r="E38" s="315">
        <f t="shared" si="12"/>
        <v>0</v>
      </c>
      <c r="F38" s="315">
        <f t="shared" si="12"/>
        <v>0</v>
      </c>
      <c r="G38" s="5"/>
      <c r="H38" s="315">
        <f>SUM(H36:H37)</f>
        <v>0</v>
      </c>
      <c r="I38" s="315">
        <f t="shared" ref="I38:L38" si="13">SUM(I36:I37)</f>
        <v>0</v>
      </c>
      <c r="J38" s="315">
        <f t="shared" si="13"/>
        <v>0</v>
      </c>
      <c r="K38" s="315">
        <f t="shared" si="13"/>
        <v>0</v>
      </c>
      <c r="L38" s="315">
        <f t="shared" si="13"/>
        <v>0</v>
      </c>
      <c r="M38" s="443">
        <f t="shared" si="3"/>
        <v>0</v>
      </c>
      <c r="N38" s="57"/>
      <c r="O38" s="57"/>
      <c r="P38" s="57"/>
      <c r="Q38" s="39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thickBot="1" x14ac:dyDescent="0.3">
      <c r="A39" s="575" t="s">
        <v>18</v>
      </c>
      <c r="B39" s="577">
        <f>(B4*B6*B7*B8)-(B4*B26)-B38</f>
        <v>0</v>
      </c>
      <c r="C39" s="577">
        <f t="shared" ref="C39:F39" si="14">(C4*C6*C7*C8)-(C4*C26)-C38</f>
        <v>0</v>
      </c>
      <c r="D39" s="577">
        <f t="shared" si="14"/>
        <v>0</v>
      </c>
      <c r="E39" s="577">
        <f t="shared" si="14"/>
        <v>0</v>
      </c>
      <c r="F39" s="577">
        <f t="shared" si="14"/>
        <v>0</v>
      </c>
      <c r="G39" s="14"/>
      <c r="H39" s="577">
        <f>(H4*H6*H7*H8)-(H4*H26)-H38</f>
        <v>0</v>
      </c>
      <c r="I39" s="577">
        <f t="shared" ref="I39:L39" si="15">(I4*I6*I7*I8)-(I4*I26)-I38</f>
        <v>0</v>
      </c>
      <c r="J39" s="577">
        <f t="shared" si="15"/>
        <v>0</v>
      </c>
      <c r="K39" s="577">
        <f t="shared" si="15"/>
        <v>0</v>
      </c>
      <c r="L39" s="577">
        <f t="shared" si="15"/>
        <v>0</v>
      </c>
      <c r="M39" s="442"/>
      <c r="N39" s="57"/>
      <c r="O39" s="57"/>
      <c r="P39" s="57"/>
      <c r="Q39" s="39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572"/>
      <c r="B40" s="315"/>
      <c r="C40" s="315"/>
      <c r="D40" s="315"/>
      <c r="E40" s="315"/>
      <c r="F40" s="315"/>
      <c r="G40" s="2"/>
      <c r="H40" s="315"/>
      <c r="I40" s="315"/>
      <c r="J40" s="315"/>
      <c r="K40" s="315"/>
      <c r="L40" s="315"/>
      <c r="M40" s="444"/>
      <c r="N40" s="59"/>
      <c r="O40" s="59"/>
      <c r="P40" s="59"/>
      <c r="Q40" s="4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572" t="s">
        <v>156</v>
      </c>
      <c r="B41" s="315">
        <f>B20*B4</f>
        <v>0</v>
      </c>
      <c r="C41" s="315">
        <f t="shared" ref="C41:F41" si="16">C20*C4</f>
        <v>0</v>
      </c>
      <c r="D41" s="315">
        <f t="shared" si="16"/>
        <v>0</v>
      </c>
      <c r="E41" s="315">
        <f t="shared" si="16"/>
        <v>0</v>
      </c>
      <c r="F41" s="315">
        <f t="shared" si="16"/>
        <v>0</v>
      </c>
      <c r="G41" s="2"/>
      <c r="H41" s="315">
        <f>H20*H4</f>
        <v>0</v>
      </c>
      <c r="I41" s="315">
        <f t="shared" ref="I41:L41" si="17">I20*I4</f>
        <v>0</v>
      </c>
      <c r="J41" s="315">
        <f t="shared" si="17"/>
        <v>0</v>
      </c>
      <c r="K41" s="315">
        <f t="shared" si="17"/>
        <v>0</v>
      </c>
      <c r="L41" s="315">
        <f t="shared" si="17"/>
        <v>0</v>
      </c>
      <c r="M41" s="444">
        <f>SUM(B41:F41)+SUM(H41:L41)</f>
        <v>0</v>
      </c>
      <c r="N41" s="396"/>
      <c r="O41" s="58" t="s">
        <v>41</v>
      </c>
      <c r="P41" s="59"/>
      <c r="Q41" s="4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572" t="s">
        <v>42</v>
      </c>
      <c r="B42" s="315">
        <f>B21*B4</f>
        <v>0</v>
      </c>
      <c r="C42" s="315">
        <f t="shared" ref="C42:F42" si="18">C21*C4</f>
        <v>0</v>
      </c>
      <c r="D42" s="315">
        <f t="shared" si="18"/>
        <v>0</v>
      </c>
      <c r="E42" s="315">
        <f t="shared" si="18"/>
        <v>0</v>
      </c>
      <c r="F42" s="315">
        <f t="shared" si="18"/>
        <v>0</v>
      </c>
      <c r="G42" s="2"/>
      <c r="H42" s="315">
        <f>H21*H4</f>
        <v>0</v>
      </c>
      <c r="I42" s="315">
        <f t="shared" ref="I42:L42" si="19">I21*I4</f>
        <v>0</v>
      </c>
      <c r="J42" s="315">
        <f t="shared" si="19"/>
        <v>0</v>
      </c>
      <c r="K42" s="315">
        <f t="shared" si="19"/>
        <v>0</v>
      </c>
      <c r="L42" s="315">
        <f t="shared" si="19"/>
        <v>0</v>
      </c>
      <c r="M42" s="444">
        <f>SUM(B42:F42)+SUM(H42:L42)</f>
        <v>0</v>
      </c>
      <c r="N42" s="396"/>
      <c r="O42" s="58" t="s">
        <v>42</v>
      </c>
      <c r="P42" s="59"/>
      <c r="Q42" s="4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5">
      <c r="A43" s="572" t="s">
        <v>10</v>
      </c>
      <c r="B43" s="307">
        <f>B4*B26</f>
        <v>0</v>
      </c>
      <c r="C43" s="307">
        <f t="shared" ref="C43:F43" si="20">C4*C26</f>
        <v>0</v>
      </c>
      <c r="D43" s="307">
        <f t="shared" si="20"/>
        <v>0</v>
      </c>
      <c r="E43" s="307">
        <f t="shared" si="20"/>
        <v>0</v>
      </c>
      <c r="F43" s="307">
        <f t="shared" si="20"/>
        <v>0</v>
      </c>
      <c r="G43" s="2"/>
      <c r="H43" s="307">
        <f>H4*H26</f>
        <v>0</v>
      </c>
      <c r="I43" s="307">
        <f t="shared" ref="I43:L43" si="21">I4*I26</f>
        <v>0</v>
      </c>
      <c r="J43" s="307">
        <f t="shared" si="21"/>
        <v>0</v>
      </c>
      <c r="K43" s="307">
        <f t="shared" si="21"/>
        <v>0</v>
      </c>
      <c r="L43" s="307">
        <f t="shared" si="21"/>
        <v>0</v>
      </c>
      <c r="M43" s="443">
        <f>SUM(B43:F43)+SUM(H43:L43)</f>
        <v>0</v>
      </c>
      <c r="N43" s="57"/>
      <c r="O43" s="57"/>
      <c r="P43" s="57"/>
      <c r="Q43" s="390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thickBot="1" x14ac:dyDescent="0.3">
      <c r="A44" s="306" t="s">
        <v>50</v>
      </c>
      <c r="B44" s="315">
        <f>B4*B6*B7</f>
        <v>0</v>
      </c>
      <c r="C44" s="315">
        <f t="shared" ref="C44:F44" si="22">C4*C6*C7</f>
        <v>0</v>
      </c>
      <c r="D44" s="315">
        <f t="shared" si="22"/>
        <v>0</v>
      </c>
      <c r="E44" s="315">
        <f t="shared" si="22"/>
        <v>0</v>
      </c>
      <c r="F44" s="315">
        <f t="shared" si="22"/>
        <v>0</v>
      </c>
      <c r="G44" s="234"/>
      <c r="H44" s="315">
        <f>H4*H6*H7</f>
        <v>0</v>
      </c>
      <c r="I44" s="315">
        <f t="shared" ref="I44:L44" si="23">I4*I6*I7</f>
        <v>0</v>
      </c>
      <c r="J44" s="315">
        <f t="shared" si="23"/>
        <v>0</v>
      </c>
      <c r="K44" s="315">
        <f t="shared" si="23"/>
        <v>0</v>
      </c>
      <c r="L44" s="315">
        <f t="shared" si="23"/>
        <v>0</v>
      </c>
      <c r="M44" s="443">
        <f>SUM(B44:F44)+SUM(H44:L44)</f>
        <v>0</v>
      </c>
      <c r="N44" s="57"/>
      <c r="O44" s="57"/>
      <c r="P44" s="57"/>
      <c r="Q44" s="390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thickBot="1" x14ac:dyDescent="0.3">
      <c r="A45" s="419" t="s">
        <v>44</v>
      </c>
      <c r="B45" s="420">
        <f>B$4*B22</f>
        <v>0</v>
      </c>
      <c r="C45" s="420">
        <f t="shared" ref="C45:F45" si="24">C$4*C22</f>
        <v>0</v>
      </c>
      <c r="D45" s="420">
        <f t="shared" si="24"/>
        <v>0</v>
      </c>
      <c r="E45" s="420">
        <f t="shared" si="24"/>
        <v>0</v>
      </c>
      <c r="F45" s="420">
        <f t="shared" si="24"/>
        <v>0</v>
      </c>
      <c r="G45" s="234"/>
      <c r="H45" s="420">
        <f>H$4*H22</f>
        <v>0</v>
      </c>
      <c r="I45" s="420">
        <f t="shared" ref="I45:L45" si="25">I$4*I22</f>
        <v>0</v>
      </c>
      <c r="J45" s="420">
        <f t="shared" si="25"/>
        <v>0</v>
      </c>
      <c r="K45" s="420">
        <f t="shared" si="25"/>
        <v>0</v>
      </c>
      <c r="L45" s="420">
        <f t="shared" si="25"/>
        <v>0</v>
      </c>
      <c r="M45" s="445">
        <f t="shared" ref="M45" si="26">SUM(B45:F45)+SUM(H45:L45)</f>
        <v>0</v>
      </c>
      <c r="N45" s="423"/>
      <c r="O45" s="423"/>
      <c r="P45" s="423"/>
      <c r="Q45" s="42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25">
      <c r="A46" s="15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25">
      <c r="A47" s="15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25">
      <c r="A48" s="15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25">
      <c r="A49" s="15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25">
      <c r="A50" s="15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25">
      <c r="A51" s="15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25">
      <c r="A52" s="15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5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A54" s="15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A55" s="15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A56" s="15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A57" s="15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A58" s="15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A59" s="15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A60" s="15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GP_ShareRent</vt:lpstr>
      <vt:lpstr>GP_Owned_CashRent</vt:lpstr>
      <vt:lpstr>National_County</vt:lpstr>
      <vt:lpstr>Crop_Total</vt:lpstr>
      <vt:lpstr>Cotton</vt:lpstr>
      <vt:lpstr>Corn</vt:lpstr>
      <vt:lpstr>Soybean</vt:lpstr>
      <vt:lpstr>Rice_LG</vt:lpstr>
      <vt:lpstr>Rice_MG</vt:lpstr>
      <vt:lpstr>Wheat</vt:lpstr>
      <vt:lpstr>Sorghum</vt:lpstr>
      <vt:lpstr>Peanut</vt:lpstr>
      <vt:lpstr>X_Cotton</vt:lpstr>
      <vt:lpstr>X_Corn</vt:lpstr>
      <vt:lpstr>X_Soybean</vt:lpstr>
      <vt:lpstr>X_Rice_LG</vt:lpstr>
      <vt:lpstr>X_Rice_MG</vt:lpstr>
      <vt:lpstr>X_Wheat</vt:lpstr>
      <vt:lpstr>X_Sorghum</vt:lpstr>
      <vt:lpstr>X_Peanut</vt:lpstr>
      <vt:lpstr>Farm Costs &amp; Returns</vt:lpstr>
      <vt:lpstr>Financial_Management</vt:lpstr>
      <vt:lpstr>Labor_Repairs</vt:lpstr>
      <vt:lpstr>Capital_Costs</vt:lpstr>
      <vt:lpstr>Hours</vt:lpstr>
      <vt:lpstr>Crop_Total!Print_Area</vt:lpstr>
      <vt:lpstr>'Farm Costs &amp; Returns'!Print_Area</vt:lpstr>
      <vt:lpstr>Financial_Management!Print_Area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aflanders</dc:creator>
  <cp:lastModifiedBy>Scott Stiles</cp:lastModifiedBy>
  <cp:lastPrinted>2015-08-20T14:35:26Z</cp:lastPrinted>
  <dcterms:created xsi:type="dcterms:W3CDTF">2014-08-18T16:30:35Z</dcterms:created>
  <dcterms:modified xsi:type="dcterms:W3CDTF">2024-12-04T15:03:58Z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2024-11-14T20:16:28Z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2c063ee3-fb04-479d-84cb-09e846d74529</vt:lpwstr>
  </property>
  <property fmtid="{D5CDD505-2E9C-101B-9397-08002B2CF9AE}" pid="8" name="MSIP_Label_0570d0e1-5e3d-4557-a9f8-84d8494b9cc8_ContentBits">
    <vt:lpwstr>0</vt:lpwstr>
  </property>
</Properties>
</file>