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For Review/"/>
    </mc:Choice>
  </mc:AlternateContent>
  <xr:revisionPtr revIDLastSave="1" documentId="8_{B7B9AB7D-F1C6-416E-BB59-A675F478CCAF}" xr6:coauthVersionLast="47" xr6:coauthVersionMax="47" xr10:uidLastSave="{C540997D-09F6-4D8C-84A8-7A3688030DC1}"/>
  <bookViews>
    <workbookView xWindow="1837" yWindow="1837" windowWidth="13613" windowHeight="11348" firstSheet="16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Print_Summary" sheetId="30" r:id="rId19"/>
    <sheet name="C1_Messages_Indicators" sheetId="24" state="hidden" r:id="rId20"/>
    <sheet name="C2_Irrigation_Calculations" sheetId="10" state="hidden" r:id="rId21"/>
    <sheet name="Print_Land_Capitalization" sheetId="35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1">Print_Land_Capitalization!$A$1:$F$42</definedName>
    <definedName name="_xlnm.Print_Area" localSheetId="28">Print_Machine_Custom_Costs!$A$1:$H$74</definedName>
    <definedName name="_xlnm.Print_Area" localSheetId="18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1">#REF!</definedName>
    <definedName name="Production" localSheetId="28">#REF!</definedName>
    <definedName name="Production" localSheetId="18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1">#REF!</definedName>
    <definedName name="row" localSheetId="28">#REF!</definedName>
    <definedName name="row" localSheetId="18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1">#REF!</definedName>
    <definedName name="same" localSheetId="28">#REF!</definedName>
    <definedName name="same" localSheetId="18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1">#REF!</definedName>
    <definedName name="Technology" localSheetId="28">#REF!</definedName>
    <definedName name="Technology" localSheetId="18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1">#REF!</definedName>
    <definedName name="Tillage" localSheetId="28">#REF!</definedName>
    <definedName name="Tillage" localSheetId="18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61" i="34" l="1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128" i="34"/>
  <c r="L1128" i="34"/>
  <c r="J1128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M1123" i="34"/>
  <c r="L1123" i="34"/>
  <c r="J1123" i="34"/>
  <c r="M1122" i="34"/>
  <c r="L1122" i="34"/>
  <c r="J1122" i="34"/>
  <c r="M1190" i="34"/>
  <c r="L1190" i="34"/>
  <c r="J1190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252" i="34"/>
  <c r="L1252" i="34"/>
  <c r="J1252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P1314" i="34"/>
  <c r="P1312" i="34"/>
  <c r="M1309" i="34"/>
  <c r="M1308" i="34"/>
  <c r="L1309" i="34"/>
  <c r="J1309" i="34"/>
  <c r="P16" i="40"/>
  <c r="M1314" i="34" l="1"/>
  <c r="L1314" i="34"/>
  <c r="J1314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L1308" i="34"/>
  <c r="J1308" i="34"/>
  <c r="M1375" i="34"/>
  <c r="L1375" i="34"/>
  <c r="J1375" i="34"/>
  <c r="M1374" i="34"/>
  <c r="L1374" i="34"/>
  <c r="J1374" i="34"/>
  <c r="M1373" i="34"/>
  <c r="L1373" i="34"/>
  <c r="J1373" i="34"/>
  <c r="G10" i="25" l="1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V11" i="40"/>
  <c r="M1746" i="34" s="1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M1372" i="34"/>
  <c r="L1372" i="34"/>
  <c r="J1372" i="34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P1560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P1498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P1436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P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P1250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P1188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6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39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39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9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X3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W39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39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AB39" i="32"/>
  <c r="AA39" i="32"/>
  <c r="Z39" i="32"/>
  <c r="AN39" i="32"/>
  <c r="Y39" i="32"/>
  <c r="X39" i="32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F64" i="41"/>
  <c r="D73" i="39"/>
  <c r="D73" i="11"/>
  <c r="AL73" i="11"/>
  <c r="AM73" i="11" s="1"/>
  <c r="E63" i="12" s="1"/>
  <c r="J63" i="12" s="1"/>
  <c r="AM73" i="39"/>
  <c r="F61" i="41" l="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B19" i="15"/>
  <c r="G19" i="15" s="1"/>
  <c r="P17" i="27"/>
  <c r="Q17" i="27" s="1"/>
  <c r="S17" i="27" s="1"/>
  <c r="B17" i="35"/>
  <c r="C17" i="35" s="1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B17" i="15" l="1"/>
  <c r="G17" i="15" s="1"/>
  <c r="B17" i="30"/>
  <c r="D17" i="30" s="1"/>
  <c r="F26" i="19"/>
  <c r="C14" i="37" s="1"/>
  <c r="H14" i="37" s="1"/>
  <c r="B20" i="35"/>
  <c r="C20" i="35" s="1"/>
  <c r="C13" i="27"/>
  <c r="C29" i="27" s="1"/>
  <c r="B20" i="30"/>
  <c r="C20" i="30" s="1"/>
  <c r="C24" i="35"/>
  <c r="I24" i="35"/>
  <c r="C24" i="30"/>
  <c r="D24" i="30"/>
  <c r="K28" i="27"/>
  <c r="K9" i="27" s="1"/>
  <c r="AH16" i="27"/>
  <c r="F17" i="30"/>
  <c r="C30" i="37"/>
  <c r="E17" i="35"/>
  <c r="I17" i="35" s="1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C17" i="30" l="1"/>
  <c r="D20" i="30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<sst xmlns="http://schemas.openxmlformats.org/spreadsheetml/2006/main" count="8711" uniqueCount="1245">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</sst>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Diesel</v>
      </c>
      <c r="Q1" s="1180" t="str">
        <f>IF(Irrigation!B2&lt;3,"Diesel","None")</f>
        <v>Diesel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1200</v>
      </c>
      <c r="Q2" s="1177">
        <f>P2</f>
        <v>1200</v>
      </c>
      <c r="R2" s="650">
        <v>220</v>
      </c>
      <c r="S2" s="1177">
        <f>IF(Irrigation!$B$2&lt;3,(Q2*$Q$36)+(R2*$R$36),A1_Link!Q2)</f>
        <v>742.14041265142475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1200</v>
      </c>
      <c r="D3" s="3"/>
      <c r="E3" s="1190"/>
      <c r="F3" s="4" t="s">
        <v>2</v>
      </c>
      <c r="G3" s="1272" t="str">
        <f>Budget!C3</f>
        <v>Lbs</v>
      </c>
      <c r="H3" s="3"/>
      <c r="I3" s="1190"/>
      <c r="J3" s="651" t="s">
        <v>492</v>
      </c>
      <c r="K3" s="1183">
        <f>C3</f>
        <v>1200</v>
      </c>
      <c r="L3" s="182"/>
      <c r="M3" s="1190"/>
      <c r="N3" s="3"/>
      <c r="O3" s="648" t="s">
        <v>21</v>
      </c>
      <c r="P3" s="1181">
        <f>Budget!E3</f>
        <v>0.69</v>
      </c>
      <c r="Q3" s="1177">
        <f>P3</f>
        <v>0.69</v>
      </c>
      <c r="R3" s="650">
        <v>4</v>
      </c>
      <c r="S3" s="1177">
        <f>IF(Irrigation!$B$2&lt;3,(Q3*$Q$36)+(R3*$R$36),A1_Link!Q3)</f>
        <v>2.2364441164528408</v>
      </c>
      <c r="T3" s="650"/>
      <c r="U3" s="1190"/>
      <c r="V3" s="3"/>
      <c r="W3" s="3"/>
      <c r="X3" s="648" t="s">
        <v>21</v>
      </c>
      <c r="Y3" s="650">
        <f>Budget!E3</f>
        <v>0.69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56.524999999999999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0.69</v>
      </c>
      <c r="D4" s="3"/>
      <c r="E4" s="1190"/>
      <c r="F4" s="4" t="s">
        <v>786</v>
      </c>
      <c r="G4" s="1189">
        <f>C3</f>
        <v>1200</v>
      </c>
      <c r="H4" s="3"/>
      <c r="I4" s="1190"/>
      <c r="J4" s="651" t="s">
        <v>493</v>
      </c>
      <c r="K4" s="1245">
        <f>C4</f>
        <v>0.69</v>
      </c>
      <c r="L4" s="182"/>
      <c r="M4" s="1190"/>
      <c r="N4" s="3"/>
      <c r="O4" s="648" t="s">
        <v>480</v>
      </c>
      <c r="P4" s="1181">
        <f>IF(A2_Budget_Look_Up!B7&gt;0,SUM(P28:P30)," ")</f>
        <v>179.82</v>
      </c>
      <c r="Q4" s="1177">
        <f>P4</f>
        <v>179.82</v>
      </c>
      <c r="R4" s="650">
        <v>0</v>
      </c>
      <c r="S4" s="1177">
        <f>IF(Irrigation!$B$2&lt;3,(IF(A2_Budget_Look_Up!B7&gt;0,Q4,0)*$Q$36)+(IF(A2_Budget_Look_Up!B7&gt;0,R4,0)*$R$36),A1_Link!Q4)</f>
        <v>95.807437758142044</v>
      </c>
      <c r="T4" s="650"/>
      <c r="U4" s="1190"/>
      <c r="V4" s="3"/>
      <c r="W4" s="3"/>
      <c r="X4" s="648" t="s">
        <v>15</v>
      </c>
      <c r="Y4" s="650">
        <f>Budget!D3</f>
        <v>1200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56.524999999999999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179.82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179.82</v>
      </c>
      <c r="D6" s="3"/>
      <c r="E6" s="1190"/>
      <c r="F6" s="1185" t="s">
        <v>21</v>
      </c>
      <c r="G6" s="1186">
        <f>C4</f>
        <v>0.69</v>
      </c>
      <c r="H6" s="3"/>
      <c r="I6" s="1190"/>
      <c r="J6" s="652" t="s">
        <v>231</v>
      </c>
      <c r="K6" s="173">
        <f>K3*K4*(K5)</f>
        <v>827.99999999999989</v>
      </c>
      <c r="L6" s="182"/>
      <c r="M6" s="1190"/>
      <c r="N6" s="3"/>
      <c r="O6" s="648" t="s">
        <v>481</v>
      </c>
      <c r="P6" s="1181">
        <f>Budget!F6</f>
        <v>113.05</v>
      </c>
      <c r="Q6" s="1177">
        <f t="shared" ref="Q6:Q26" si="0">P6</f>
        <v>113.05</v>
      </c>
      <c r="R6" s="650">
        <v>125.73</v>
      </c>
      <c r="S6" s="1177">
        <f>IF(Irrigation!$B$2&lt;3,(Q6*$Q$36)+(R6*$R$36),A1_Link!Q6)</f>
        <v>118.97414241589789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77.229166666666657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179.82</v>
      </c>
      <c r="L7" s="182"/>
      <c r="M7" s="1190"/>
      <c r="N7" s="3"/>
      <c r="O7" s="648" t="s">
        <v>304</v>
      </c>
      <c r="P7" s="1181">
        <f>Budget!F7</f>
        <v>77.229166666666657</v>
      </c>
      <c r="Q7" s="1177">
        <f t="shared" si="0"/>
        <v>77.229166666666657</v>
      </c>
      <c r="R7" s="650">
        <v>104.82639999999999</v>
      </c>
      <c r="S7" s="1177">
        <f>IF(Irrigation!$B$2&lt;3,(Q7*$Q$36)+(R7*$R$36),A1_Link!Q7)</f>
        <v>90.122695101322108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734.55516914581722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40.5</v>
      </c>
      <c r="AI7" s="3"/>
    </row>
    <row r="8" spans="2:35" ht="13.9" x14ac:dyDescent="0.4">
      <c r="B8" s="1185" t="s">
        <v>223</v>
      </c>
      <c r="C8" s="1186">
        <f>Budget!F6</f>
        <v>113.05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40.5</v>
      </c>
      <c r="Q8" s="1177">
        <f t="shared" si="0"/>
        <v>40.5</v>
      </c>
      <c r="R8" s="650">
        <v>30</v>
      </c>
      <c r="S8" s="1177">
        <f>IF(Irrigation!$B$2&lt;3,(Q8*$Q$36)+(R8*$R$36),A1_Link!Q8)</f>
        <v>35.594361564122408</v>
      </c>
      <c r="T8" s="650"/>
      <c r="U8" s="1190"/>
      <c r="V8" s="3"/>
      <c r="W8" s="3"/>
      <c r="X8" s="648" t="s">
        <v>1</v>
      </c>
      <c r="Y8" s="650">
        <f>Budget!F36</f>
        <v>28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22</v>
      </c>
      <c r="AI8" s="3"/>
    </row>
    <row r="9" spans="2:35" ht="13.9" x14ac:dyDescent="0.4">
      <c r="B9" s="1185" t="s">
        <v>224</v>
      </c>
      <c r="C9" s="1186">
        <f>SUM(Budget!F7:F13)</f>
        <v>165.09916666666666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664.38722956401182</v>
      </c>
      <c r="L9" s="182">
        <v>491.31931557339078</v>
      </c>
      <c r="M9" s="1190"/>
      <c r="N9" s="3"/>
      <c r="O9" s="648" t="s">
        <v>483</v>
      </c>
      <c r="P9" s="1181">
        <f>Budget!F9</f>
        <v>22</v>
      </c>
      <c r="Q9" s="1177">
        <f t="shared" si="0"/>
        <v>22</v>
      </c>
      <c r="R9" s="650">
        <v>33.299999999999997</v>
      </c>
      <c r="S9" s="1177">
        <f>IF(Irrigation!$B$2&lt;3,(Q9*$Q$36)+(R9*$R$36),A1_Link!Q9)</f>
        <v>27.279401364325405</v>
      </c>
      <c r="T9" s="650"/>
      <c r="U9" s="1190"/>
      <c r="V9" s="3"/>
      <c r="W9" s="3"/>
      <c r="X9" s="648" t="s">
        <v>55</v>
      </c>
      <c r="Y9" s="650">
        <f>Trips!E45+Trips!E51+(Trips!E72*(1-W10))+Trips!E76</f>
        <v>10.517320790426488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25.37</v>
      </c>
      <c r="AI9" s="3"/>
    </row>
    <row r="10" spans="2:35" ht="13.9" x14ac:dyDescent="0.4">
      <c r="B10" s="1185" t="s">
        <v>494</v>
      </c>
      <c r="C10" s="1186">
        <f>SUM(Budget!F14:F18)</f>
        <v>173.88968749999998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28</v>
      </c>
      <c r="L10" s="182">
        <v>0</v>
      </c>
      <c r="M10" s="1190"/>
      <c r="N10" s="3"/>
      <c r="O10" s="648" t="s">
        <v>484</v>
      </c>
      <c r="P10" s="1181">
        <f>SUM(Budget!F10:F13)</f>
        <v>25.37</v>
      </c>
      <c r="Q10" s="1177">
        <f t="shared" si="0"/>
        <v>25.37</v>
      </c>
      <c r="R10" s="650">
        <v>22.159999999999997</v>
      </c>
      <c r="S10" s="1177">
        <f>IF(Irrigation!$B$2&lt;3,(Q10*$Q$36)+(R10*$R$36),A1_Link!Q10)</f>
        <v>23.870276249603137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1200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112.36137499999998</v>
      </c>
      <c r="AI10" s="3"/>
    </row>
    <row r="11" spans="2:35" ht="13.9" x14ac:dyDescent="0.4">
      <c r="B11" s="1185" t="s">
        <v>225</v>
      </c>
      <c r="C11" s="1186">
        <f>SUM(Budget!F20:F23)</f>
        <v>124.5</v>
      </c>
      <c r="D11" s="3"/>
      <c r="E11" s="1190"/>
      <c r="F11" s="1185" t="s">
        <v>223</v>
      </c>
      <c r="G11" s="1186">
        <f>C8</f>
        <v>113.05</v>
      </c>
      <c r="H11" s="3"/>
      <c r="I11" s="1190"/>
      <c r="J11" s="648" t="s">
        <v>789</v>
      </c>
      <c r="K11" s="665">
        <f>K30+SUM(K32:K35)</f>
        <v>89.19961657673376</v>
      </c>
      <c r="L11" s="182">
        <v>58.670258247720405</v>
      </c>
      <c r="M11" s="1190"/>
      <c r="N11" s="3"/>
      <c r="O11" s="648" t="s">
        <v>183</v>
      </c>
      <c r="P11" s="1181">
        <f>Budget!F14</f>
        <v>112.36137499999998</v>
      </c>
      <c r="Q11" s="1177">
        <f t="shared" si="0"/>
        <v>112.36137499999998</v>
      </c>
      <c r="R11" s="650">
        <v>23.8</v>
      </c>
      <c r="S11" s="1177">
        <f>IF(Irrigation!$B$2&lt;3,(Q11*$Q$36)+(R11*$R$36),A1_Link!Q11)</f>
        <v>70.985176415793433</v>
      </c>
      <c r="T11" s="650"/>
      <c r="U11" s="1190"/>
      <c r="V11" s="3"/>
      <c r="W11" s="3"/>
      <c r="X11" s="648" t="s">
        <v>811</v>
      </c>
      <c r="Y11" s="650">
        <f>Budget!F27</f>
        <v>8.5143562045017163</v>
      </c>
      <c r="Z11" s="650">
        <f>Budget!D$3</f>
        <v>1200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38.165624999999999</v>
      </c>
      <c r="AI11" s="3"/>
    </row>
    <row r="12" spans="2:35" ht="13.9" x14ac:dyDescent="0.4">
      <c r="B12" s="1185" t="s">
        <v>421</v>
      </c>
      <c r="C12" s="1186">
        <f>Budget!F31+Budget!F32</f>
        <v>35.85</v>
      </c>
      <c r="D12" s="3"/>
      <c r="E12" s="1190"/>
      <c r="F12" s="1185" t="s">
        <v>420</v>
      </c>
      <c r="G12" s="1186">
        <f t="shared" ref="G12:G21" si="2">C9</f>
        <v>165.09916666666666</v>
      </c>
      <c r="H12" s="3"/>
      <c r="I12" s="1190"/>
      <c r="J12" s="648" t="s">
        <v>790</v>
      </c>
      <c r="K12" s="664">
        <f>SUM(K36:K37)</f>
        <v>179.82</v>
      </c>
      <c r="L12" s="182">
        <v>105.03</v>
      </c>
      <c r="M12" s="1190"/>
      <c r="N12" s="3"/>
      <c r="O12" s="648" t="s">
        <v>184</v>
      </c>
      <c r="P12" s="1181">
        <f>Budget!F15</f>
        <v>38.165624999999999</v>
      </c>
      <c r="Q12" s="1177">
        <f t="shared" si="0"/>
        <v>38.165624999999999</v>
      </c>
      <c r="R12" s="650">
        <v>0</v>
      </c>
      <c r="S12" s="1177">
        <f>IF(Irrigation!$B$2&lt;3,(Q12*$Q$36)+(R12*$R$36),A1_Link!Q12)</f>
        <v>20.334505292448505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1200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23.3626875</v>
      </c>
      <c r="AI12" s="3"/>
    </row>
    <row r="13" spans="2:35" ht="13.9" x14ac:dyDescent="0.4">
      <c r="B13" s="1185" t="s">
        <v>779</v>
      </c>
      <c r="C13" s="1186">
        <f>Budget!F25+Budget!F27</f>
        <v>17.131385983811342</v>
      </c>
      <c r="D13" s="3"/>
      <c r="E13" s="1190"/>
      <c r="F13" s="1185" t="s">
        <v>494</v>
      </c>
      <c r="G13" s="1186">
        <f t="shared" si="2"/>
        <v>173.88968749999998</v>
      </c>
      <c r="H13" s="3"/>
      <c r="I13" s="1190"/>
      <c r="J13" s="652" t="s">
        <v>168</v>
      </c>
      <c r="K13" s="173">
        <f>SUM(K9:K12)-K7</f>
        <v>781.58684614074559</v>
      </c>
      <c r="L13" s="182"/>
      <c r="M13" s="1190"/>
      <c r="N13" s="3"/>
      <c r="O13" s="648" t="s">
        <v>91</v>
      </c>
      <c r="P13" s="1181">
        <f>SUM(Budget!F16:F18)</f>
        <v>23.3626875</v>
      </c>
      <c r="Q13" s="1177">
        <f t="shared" si="0"/>
        <v>23.3626875</v>
      </c>
      <c r="R13" s="650">
        <v>0</v>
      </c>
      <c r="S13" s="1177">
        <f>IF(Irrigation!$B$2&lt;3,(Q13*$Q$36)+(R13*$R$36),A1_Link!Q13)</f>
        <v>12.447554379486006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179.82</v>
      </c>
      <c r="Z13" s="650">
        <f>SUM(Y7:Y13)-Y5</f>
        <v>781.58684614074559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124.5</v>
      </c>
      <c r="AI13" s="3"/>
    </row>
    <row r="14" spans="2:35" ht="13.9" x14ac:dyDescent="0.4">
      <c r="B14" s="1185" t="s">
        <v>422</v>
      </c>
      <c r="C14" s="1186">
        <f>Budget!F29</f>
        <v>34.86698941353383</v>
      </c>
      <c r="D14" s="3"/>
      <c r="E14" s="1190"/>
      <c r="F14" s="1185" t="s">
        <v>225</v>
      </c>
      <c r="G14" s="1186">
        <f t="shared" si="2"/>
        <v>124.5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124.5</v>
      </c>
      <c r="Q14" s="1177">
        <f t="shared" si="0"/>
        <v>124.5</v>
      </c>
      <c r="R14" s="650">
        <v>7.0000000000000009</v>
      </c>
      <c r="S14" s="1177">
        <f>IF(Irrigation!$B$2&lt;3,(Q14*$Q$36)+(R14*$R$36),A1_Link!Q14)</f>
        <v>69.603569884226957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8.6170297793096253</v>
      </c>
      <c r="AI14" s="3"/>
    </row>
    <row r="15" spans="2:35" ht="13.9" x14ac:dyDescent="0.4">
      <c r="B15" s="1185" t="s">
        <v>778</v>
      </c>
      <c r="C15" s="1186">
        <f>Budget!F34+Budget!F35</f>
        <v>13</v>
      </c>
      <c r="D15" s="3"/>
      <c r="E15" s="1190"/>
      <c r="F15" s="1185" t="s">
        <v>780</v>
      </c>
      <c r="G15" s="1186">
        <f t="shared" si="2"/>
        <v>35.85</v>
      </c>
      <c r="H15" s="3"/>
      <c r="I15" s="1190"/>
      <c r="J15" s="652" t="s">
        <v>233</v>
      </c>
      <c r="K15" s="173">
        <f>(K3*K4*K5)-K13-K14</f>
        <v>46.413153859254294</v>
      </c>
      <c r="L15" s="182"/>
      <c r="M15" s="1190"/>
      <c r="N15" s="3"/>
      <c r="O15" s="648" t="s">
        <v>424</v>
      </c>
      <c r="P15" s="1181">
        <f>Budget!F25</f>
        <v>8.6170297793096253</v>
      </c>
      <c r="Q15" s="1177">
        <f t="shared" si="0"/>
        <v>8.6170297793096253</v>
      </c>
      <c r="R15" s="650">
        <v>10.547472063880164</v>
      </c>
      <c r="S15" s="1177">
        <f>IF(Irrigation!$B$2&lt;3,(Q15*$Q$36)+(R15*$R$36),A1_Link!Q15)</f>
        <v>9.5189394811603467</v>
      </c>
      <c r="T15" s="650"/>
      <c r="U15" s="1190"/>
      <c r="V15" s="3"/>
      <c r="W15" s="3"/>
      <c r="X15" s="648" t="s">
        <v>584</v>
      </c>
      <c r="Y15" s="650">
        <f>Budget!F48</f>
        <v>167.00534401546685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7.7400220950298984</v>
      </c>
      <c r="AI15" s="3"/>
    </row>
    <row r="16" spans="2:35" ht="13.9" x14ac:dyDescent="0.4">
      <c r="B16" s="1185" t="s">
        <v>1</v>
      </c>
      <c r="C16" s="1186">
        <f>Budget!F36</f>
        <v>28</v>
      </c>
      <c r="D16" s="3"/>
      <c r="E16" s="1190"/>
      <c r="F16" s="1185" t="s">
        <v>779</v>
      </c>
      <c r="G16" s="1186">
        <f t="shared" si="2"/>
        <v>17.131385983811342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7.7400220950298984</v>
      </c>
      <c r="Q16" s="1177">
        <f t="shared" si="0"/>
        <v>7.7400220950298984</v>
      </c>
      <c r="R16" s="650">
        <v>9.3388892486480266</v>
      </c>
      <c r="S16" s="1177">
        <f>IF(Irrigation!$B$2&lt;3,(Q16*$Q$36)+(R16*$R$36),A1_Link!Q16)</f>
        <v>8.4870186819490687</v>
      </c>
      <c r="T16" s="650"/>
      <c r="U16" s="1190"/>
      <c r="V16" s="3"/>
      <c r="W16" s="3"/>
      <c r="X16" s="648" t="s">
        <v>303</v>
      </c>
      <c r="Y16" s="650">
        <f>Budget!F49</f>
        <v>38.155984089812883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8.5143562045017163</v>
      </c>
      <c r="AI16" s="3"/>
    </row>
    <row r="17" spans="2:35" ht="13.9" x14ac:dyDescent="0.4">
      <c r="B17" s="1185" t="s">
        <v>226</v>
      </c>
      <c r="C17" s="1186">
        <f>Budget!F26+Budget!F28+Budget!F30</f>
        <v>34.378319648678698</v>
      </c>
      <c r="D17" s="3"/>
      <c r="E17" s="1190"/>
      <c r="F17" s="1185" t="s">
        <v>422</v>
      </c>
      <c r="G17" s="1186">
        <f t="shared" si="2"/>
        <v>34.86698941353383</v>
      </c>
      <c r="H17" s="3"/>
      <c r="I17" s="1190"/>
      <c r="J17" s="648" t="s">
        <v>249</v>
      </c>
      <c r="K17" s="978">
        <f>SUM(K40:K42)</f>
        <v>213.51159530605307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8.5143562045017163</v>
      </c>
      <c r="Q17" s="1177">
        <f t="shared" si="0"/>
        <v>8.5143562045017163</v>
      </c>
      <c r="R17" s="650">
        <v>7.4958759183673482</v>
      </c>
      <c r="S17" s="1177">
        <f>IF(Irrigation!$B$2&lt;3,(Q17*$Q$36)+(R17*$R$36),A1_Link!Q17)</f>
        <v>8.0385184866117765</v>
      </c>
      <c r="T17" s="650"/>
      <c r="U17" s="1190"/>
      <c r="V17" s="3"/>
      <c r="W17" s="3"/>
      <c r="X17" s="648" t="s">
        <v>585</v>
      </c>
      <c r="Y17" s="650">
        <f>Budget!F50</f>
        <v>8.3502672007733434</v>
      </c>
      <c r="Z17" s="650">
        <f>SUM(Y15:Y17)</f>
        <v>213.51159530605307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22.118922553648794</v>
      </c>
      <c r="AI17" s="3"/>
    </row>
    <row r="18" spans="2:35" ht="13.9" x14ac:dyDescent="0.4">
      <c r="B18" s="1185" t="s">
        <v>214</v>
      </c>
      <c r="C18" s="1186">
        <f>Trips!E45+Trips!E51+Trips!E72+Trips!E76</f>
        <v>10.517320790426488</v>
      </c>
      <c r="D18" s="3"/>
      <c r="E18" s="1190"/>
      <c r="F18" s="1185" t="s">
        <v>778</v>
      </c>
      <c r="G18" s="1186">
        <f t="shared" si="2"/>
        <v>13</v>
      </c>
      <c r="H18" s="3"/>
      <c r="I18" s="1190"/>
      <c r="J18" s="308" t="s">
        <v>650</v>
      </c>
      <c r="K18" s="173">
        <f>K13+K17</f>
        <v>995.09844144679869</v>
      </c>
      <c r="L18" s="182"/>
      <c r="M18" s="1190"/>
      <c r="N18" s="3"/>
      <c r="O18" s="648" t="s">
        <v>17</v>
      </c>
      <c r="P18" s="1181">
        <f>(Budget!F28/Budget!D3)*P2</f>
        <v>22.118922553648794</v>
      </c>
      <c r="Q18" s="1177">
        <f t="shared" si="0"/>
        <v>22.118922553648794</v>
      </c>
      <c r="R18" s="650">
        <v>12.958564105965449</v>
      </c>
      <c r="S18" s="1177">
        <f>IF(Irrigation!$B$2&lt;3,(Q18*$Q$36)+(R18*$R$36),A1_Link!Q18)</f>
        <v>17.839169554851516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34.86698941353383</v>
      </c>
      <c r="AI18" s="3"/>
    </row>
    <row r="19" spans="2:35" ht="13.9" x14ac:dyDescent="0.4">
      <c r="B19" s="1185" t="s">
        <v>28</v>
      </c>
      <c r="C19" s="1186">
        <f>Budget!F37</f>
        <v>31.30397613762857</v>
      </c>
      <c r="D19" s="3"/>
      <c r="E19" s="1190"/>
      <c r="F19" s="1185" t="s">
        <v>1</v>
      </c>
      <c r="G19" s="1186">
        <f t="shared" si="2"/>
        <v>28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34.86698941353383</v>
      </c>
      <c r="Q19" s="1177">
        <f t="shared" si="0"/>
        <v>34.86698941353383</v>
      </c>
      <c r="R19" s="650">
        <v>27.046874608695653</v>
      </c>
      <c r="S19" s="1177">
        <f>IF(Irrigation!$B$2&lt;3,(Q19*$Q$36)+(R19*$R$36),A1_Link!Q19)</f>
        <v>31.213403150715777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4.5193750000000001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34.378319648678698</v>
      </c>
      <c r="H20" s="3"/>
      <c r="I20" s="1190"/>
      <c r="J20" s="308" t="s">
        <v>761</v>
      </c>
      <c r="K20" s="173">
        <f>(K3*K4*K5)-K14-K18</f>
        <v>-167.0984414467988</v>
      </c>
      <c r="L20" s="182"/>
      <c r="M20" s="1190"/>
      <c r="N20" s="3"/>
      <c r="O20" s="648" t="s">
        <v>295</v>
      </c>
      <c r="P20" s="1181">
        <f>Budget!F30</f>
        <v>4.5193750000000001</v>
      </c>
      <c r="Q20" s="1177">
        <f t="shared" si="0"/>
        <v>4.5193750000000001</v>
      </c>
      <c r="R20" s="650">
        <v>1.6916666666666667</v>
      </c>
      <c r="S20" s="1177">
        <f>IF(Irrigation!$B$2&lt;3,(Q20*$Q$36)+(R20*$R$36),A1_Link!Q20)</f>
        <v>3.1982593156712986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16.25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168</v>
      </c>
      <c r="D21" s="3"/>
      <c r="E21" s="1190"/>
      <c r="F21" s="1185" t="s">
        <v>214</v>
      </c>
      <c r="G21" s="1186">
        <f t="shared" si="2"/>
        <v>10.517320790426488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16.25</v>
      </c>
      <c r="Q21" s="1177">
        <f t="shared" si="0"/>
        <v>16.25</v>
      </c>
      <c r="R21" s="650">
        <v>3.45</v>
      </c>
      <c r="S21" s="1177">
        <f>IF(Irrigation!$B$2&lt;3,(Q21*$Q$36)+(R21*$R$36),A1_Link!Q21)</f>
        <v>10.269793144834937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11.819999999999999</v>
      </c>
      <c r="D22" s="3"/>
      <c r="E22" s="1190"/>
      <c r="F22" s="1185" t="s">
        <v>784</v>
      </c>
      <c r="G22" s="1186">
        <f>SUM(G11:G21)*(0.0475/2)</f>
        <v>17.819218162574032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19.600000000000001</v>
      </c>
      <c r="Q22" s="1177">
        <f t="shared" si="0"/>
        <v>19.600000000000001</v>
      </c>
      <c r="R22" s="650">
        <v>0</v>
      </c>
      <c r="S22" s="1177">
        <f>IF(Irrigation!$B$2&lt;3,(Q22*$Q$36)+(R22*$R$36),A1_Link!Q22)</f>
        <v>10.442808253028497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19.600000000000001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113.05</v>
      </c>
      <c r="L23" s="1251">
        <v>1</v>
      </c>
      <c r="M23" s="1190"/>
      <c r="N23" s="3"/>
      <c r="O23" s="648" t="s">
        <v>214</v>
      </c>
      <c r="P23" s="1181">
        <f>Budget!F33</f>
        <v>19.11872079042649</v>
      </c>
      <c r="Q23" s="1177">
        <f t="shared" si="0"/>
        <v>19.11872079042649</v>
      </c>
      <c r="R23" s="650">
        <v>11.817977438585899</v>
      </c>
      <c r="S23" s="1177">
        <f>IF(Irrigation!$B$2&lt;3,(Q23*$Q$36)+(R23*$R$36),A1_Link!Q23)</f>
        <v>15.707786771639157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19.11872079042649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179.82</v>
      </c>
      <c r="H24" s="3"/>
      <c r="I24" s="1190"/>
      <c r="J24" s="1185" t="s">
        <v>224</v>
      </c>
      <c r="K24" s="1249">
        <f t="shared" ref="K24:K38" si="3">C9*L24</f>
        <v>165.09916666666666</v>
      </c>
      <c r="L24" s="1251">
        <v>1</v>
      </c>
      <c r="M24" s="1190"/>
      <c r="N24" s="3"/>
      <c r="O24" s="648" t="s">
        <v>23</v>
      </c>
      <c r="P24" s="1181">
        <f>Budget!F34</f>
        <v>10</v>
      </c>
      <c r="Q24" s="1177">
        <f t="shared" si="0"/>
        <v>10</v>
      </c>
      <c r="R24" s="650">
        <v>0</v>
      </c>
      <c r="S24" s="1177">
        <f>IF(Irrigation!$B$2&lt;3,(Q24*$Q$36)+(R24*$R$36),A1_Link!Q24)</f>
        <v>5.3279633944022944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10</v>
      </c>
      <c r="AI24" s="3"/>
    </row>
    <row r="25" spans="2:35" ht="13.9" x14ac:dyDescent="0.4">
      <c r="B25" s="648" t="s">
        <v>123</v>
      </c>
      <c r="C25" s="665">
        <f>Budget!F48</f>
        <v>167.00534401546685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173.88968749999998</v>
      </c>
      <c r="L25" s="1251">
        <v>1</v>
      </c>
      <c r="M25" s="1190"/>
      <c r="N25" s="3"/>
      <c r="O25" s="648" t="s">
        <v>487</v>
      </c>
      <c r="P25" s="1181">
        <f>Budget!F35</f>
        <v>3</v>
      </c>
      <c r="Q25" s="1177">
        <f t="shared" si="0"/>
        <v>3</v>
      </c>
      <c r="R25" s="650">
        <v>0</v>
      </c>
      <c r="S25" s="1177">
        <f>IF(Irrigation!$B$2&lt;3,(Q25*$Q$36)+(R25*$R$36),A1_Link!Q25)</f>
        <v>1.5983890183206881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3</v>
      </c>
      <c r="AI25" s="3"/>
    </row>
    <row r="26" spans="2:35" ht="13.9" x14ac:dyDescent="0.4">
      <c r="B26" s="648" t="s">
        <v>303</v>
      </c>
      <c r="C26" s="665">
        <f>Budget!F49</f>
        <v>38.155984089812883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124.5</v>
      </c>
      <c r="L26" s="1251">
        <v>1</v>
      </c>
      <c r="M26" s="1190"/>
      <c r="N26" s="3"/>
      <c r="O26" s="648" t="s">
        <v>1</v>
      </c>
      <c r="P26" s="1181">
        <f>Budget!F36</f>
        <v>28</v>
      </c>
      <c r="Q26" s="1177">
        <f t="shared" si="0"/>
        <v>28</v>
      </c>
      <c r="R26" s="650">
        <v>0</v>
      </c>
      <c r="S26" s="1177">
        <f>IF(Irrigation!$B$2&lt;3,(Q26*$Q$36)+(R26*$R$36),A1_Link!Q26)</f>
        <v>14.918297504326423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31.30397613762857</v>
      </c>
      <c r="AI26" s="650">
        <f>SUM(AH3:AH26)</f>
        <v>762.18824614074538</v>
      </c>
    </row>
    <row r="27" spans="2:35" ht="13.9" x14ac:dyDescent="0.4">
      <c r="B27" s="648" t="s">
        <v>585</v>
      </c>
      <c r="C27" s="664">
        <f>Budget!F50</f>
        <v>8.3502672007733434</v>
      </c>
      <c r="D27" s="3"/>
      <c r="E27" s="1190"/>
      <c r="F27" s="648" t="s">
        <v>997</v>
      </c>
      <c r="G27" s="1186">
        <f>C25+C26</f>
        <v>205.16132810527972</v>
      </c>
      <c r="H27" s="3"/>
      <c r="I27" s="1190"/>
      <c r="J27" s="1185" t="s">
        <v>421</v>
      </c>
      <c r="K27" s="1249">
        <f t="shared" si="3"/>
        <v>35.85</v>
      </c>
      <c r="L27" s="1251">
        <v>1</v>
      </c>
      <c r="M27" s="1190"/>
      <c r="N27" s="173"/>
      <c r="O27" s="648" t="s">
        <v>263</v>
      </c>
      <c r="P27" s="1181">
        <f>SUM(P6:P26)*((Budget!D37/100)/2)</f>
        <v>31.30397613762857</v>
      </c>
      <c r="Q27" s="1177">
        <f>P27</f>
        <v>31.30397613762857</v>
      </c>
      <c r="R27" s="650">
        <v>10.240138351206717</v>
      </c>
      <c r="S27" s="1177">
        <f>IF(Irrigation!$B$2&lt;3,(Q27*$Q$36)+(R27*$R$36),A1_Link!Q27)</f>
        <v>21.462874018375064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120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8.3502672007733434</v>
      </c>
      <c r="H28" s="3"/>
      <c r="I28" s="1190"/>
      <c r="J28" s="1185" t="s">
        <v>779</v>
      </c>
      <c r="K28" s="1249">
        <f t="shared" si="3"/>
        <v>17.131385983811342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120</v>
      </c>
      <c r="Q28" s="1177">
        <f>P28</f>
        <v>120</v>
      </c>
      <c r="R28" s="650">
        <v>41.8</v>
      </c>
      <c r="S28" s="1177">
        <f>IF(Irrigation!$B$2&lt;3,(Q28*$Q$36)+(R28*$R$36),A1_Link!Q28)</f>
        <v>83.464673744225934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48</v>
      </c>
      <c r="AI28" s="3"/>
    </row>
    <row r="29" spans="2:35" ht="13.9" x14ac:dyDescent="0.4">
      <c r="B29" s="652" t="s">
        <v>777</v>
      </c>
      <c r="C29" s="173">
        <f>SUM(C8:C14)</f>
        <v>664.38722956401182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34.86698941353383</v>
      </c>
      <c r="L29" s="1251">
        <v>1</v>
      </c>
      <c r="M29" s="1190"/>
      <c r="N29" s="3"/>
      <c r="O29" s="648" t="s">
        <v>489</v>
      </c>
      <c r="P29" s="1181">
        <f>Budget!F41</f>
        <v>48</v>
      </c>
      <c r="Q29" s="1177">
        <f>P29</f>
        <v>48</v>
      </c>
      <c r="R29" s="650">
        <v>55</v>
      </c>
      <c r="S29" s="1177">
        <f>IF(Irrigation!$B$2&lt;3,(Q29*$Q$36)+(R29*$R$36),A1_Link!Q29)</f>
        <v>51.270425623918392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11.819999999999999</v>
      </c>
      <c r="AI29" s="3"/>
    </row>
    <row r="30" spans="2:35" ht="13.9" x14ac:dyDescent="0.4">
      <c r="B30" s="652" t="s">
        <v>640</v>
      </c>
      <c r="C30" s="173">
        <f>SUM(C8:C18)</f>
        <v>750.28287000311707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13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11.819999999999999</v>
      </c>
      <c r="Q30" s="1177">
        <f>P30</f>
        <v>11.819999999999999</v>
      </c>
      <c r="R30" s="650">
        <v>2.2000000000000002</v>
      </c>
      <c r="S30" s="1177">
        <f>IF(Irrigation!$B$2&lt;3,(Q30*$Q$36)+(R30*$R$36),A1_Link!Q30)</f>
        <v>7.3255007854150058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781.58684614074559</v>
      </c>
      <c r="D31" s="3"/>
      <c r="E31" s="1190"/>
      <c r="F31" s="1308">
        <f>SUM(C8:C22)</f>
        <v>961.40684614074564</v>
      </c>
      <c r="G31" s="3"/>
      <c r="H31" s="3"/>
      <c r="I31" s="1190"/>
      <c r="J31" s="1185" t="s">
        <v>1</v>
      </c>
      <c r="K31" s="1249">
        <f t="shared" si="3"/>
        <v>28</v>
      </c>
      <c r="L31" s="1251">
        <v>1</v>
      </c>
      <c r="M31" s="1190"/>
      <c r="N31" s="534"/>
      <c r="O31" s="1309">
        <f>P31+IF(A2_Budget_Look_Up!B7&gt;0,P4,0)</f>
        <v>970.00824614074531</v>
      </c>
      <c r="P31" s="1178">
        <f>SUM(P6:P30)-IF(A2_Budget_Look_Up!B7&gt;0,P4,0)</f>
        <v>790.18824614074538</v>
      </c>
      <c r="Q31" s="1178">
        <f>SUM(Q6:Q30)-IF(A2_Budget_Look_Up!B7&gt;0,Q4,0)</f>
        <v>790.18824614074538</v>
      </c>
      <c r="R31" s="1178">
        <f>SUM(R6:R30)-IF(A2_Budget_Look_Up!B7&gt;0,R4,0)</f>
        <v>540.40385840201589</v>
      </c>
      <c r="S31" s="1179">
        <f>SUM(S6:S30)-IF(A2_Budget_Look_Up!B7&gt;0,S4,0)</f>
        <v>673.48806583852979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167.00534401546685</v>
      </c>
      <c r="AI31" s="3"/>
    </row>
    <row r="32" spans="2:35" ht="13.9" x14ac:dyDescent="0.4">
      <c r="B32" s="173" t="s">
        <v>249</v>
      </c>
      <c r="C32" s="173">
        <f>SUM(C25:C27)</f>
        <v>213.51159530605307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34.378319648678698</v>
      </c>
      <c r="L32" s="1251">
        <v>1</v>
      </c>
      <c r="M32" s="1190"/>
      <c r="N32" s="183"/>
      <c r="O32" s="648" t="s">
        <v>123</v>
      </c>
      <c r="P32" s="1181">
        <f>Budget!F48</f>
        <v>167.00534401546685</v>
      </c>
      <c r="Q32" s="1177">
        <f>P32</f>
        <v>167.00534401546685</v>
      </c>
      <c r="R32" s="650">
        <v>62.654368717931924</v>
      </c>
      <c r="S32" s="1177">
        <f>IF(Irrigation!$B$2&lt;3,(Q32*$Q$36)+(R32*$R$36),A1_Link!Q32)</f>
        <v>118.25218637347633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38.155984089812883</v>
      </c>
      <c r="AI32" s="3"/>
    </row>
    <row r="33" spans="2:35" ht="13.9" x14ac:dyDescent="0.4">
      <c r="B33" s="308" t="s">
        <v>650</v>
      </c>
      <c r="C33" s="173">
        <f>C31+C32</f>
        <v>995.09844144679869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10.517320790426488</v>
      </c>
      <c r="L33" s="1251">
        <v>1</v>
      </c>
      <c r="M33" s="1190"/>
      <c r="N33" s="182"/>
      <c r="O33" s="648" t="s">
        <v>303</v>
      </c>
      <c r="P33" s="1181">
        <f>Budget!F49</f>
        <v>38.155984089812883</v>
      </c>
      <c r="Q33" s="1177">
        <f>P33</f>
        <v>38.155984089812883</v>
      </c>
      <c r="R33" s="650">
        <v>11.440610711903465</v>
      </c>
      <c r="S33" s="1177">
        <f>IF(Irrigation!$B$2&lt;3,(Q33*$Q$36)+(R33*$R$36),A1_Link!Q33)</f>
        <v>25.67446385443256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8.3502672007733434</v>
      </c>
      <c r="AI33" s="3"/>
    </row>
    <row r="34" spans="2:35" ht="13.9" x14ac:dyDescent="0.4">
      <c r="B34" s="308" t="s">
        <v>761</v>
      </c>
      <c r="C34" s="173">
        <f>(C3*C4*C5)-C23-C33</f>
        <v>-167.0984414467988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31.30397613762857</v>
      </c>
      <c r="L34" s="1251">
        <v>1</v>
      </c>
      <c r="M34" s="1190"/>
      <c r="N34" s="182"/>
      <c r="O34" s="648" t="s">
        <v>491</v>
      </c>
      <c r="P34" s="1181">
        <f>Budget!F50</f>
        <v>8.3502672007733434</v>
      </c>
      <c r="Q34" s="1177">
        <f>P34</f>
        <v>8.3502672007733434</v>
      </c>
      <c r="R34" s="650">
        <v>7.4094979429835393</v>
      </c>
      <c r="S34" s="1177">
        <f>IF(Irrigation!$B$2&lt;3,(Q34*$Q$36)+(R34*$R$36),A1_Link!Q34)</f>
        <v>7.9107363597918487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213.51159530605307</v>
      </c>
      <c r="Q35" s="1178">
        <f>SUM(Q32:Q34)</f>
        <v>213.51159530605307</v>
      </c>
      <c r="R35" s="1178">
        <f>SUM(R32:R34)</f>
        <v>81.504477372818926</v>
      </c>
      <c r="S35" s="1179">
        <f>SUM(S32:S34)</f>
        <v>151.83738658770076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168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-147.69984144679856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11.819999999999999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167.00534401546685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38.155984089812883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8.3502672007733434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34. Machinery Capital Recovery and Operating Costs, W3FE Cotton, Furrow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 t="str">
        <f>IF(Trips!G5&gt;0,Trips!G5," ")</f>
        <v xml:space="preserve"> </v>
      </c>
      <c r="C6" s="96" t="str">
        <f>IF(Trips!H5&gt;0,Trips!H5," ")</f>
        <v xml:space="preserve"> </v>
      </c>
      <c r="D6" s="96" t="str">
        <f>IF(Trips!I5&gt;0,Trips!I5," ")</f>
        <v xml:space="preserve"> </v>
      </c>
      <c r="E6" s="96" t="str">
        <f>IF(Trips!J5&gt;0,Trips!J5," ")</f>
        <v xml:space="preserve"> </v>
      </c>
      <c r="F6" s="96" t="str">
        <f>IF(Trips!K5&gt;0,Trips!K5," ")</f>
        <v xml:space="preserve"> </v>
      </c>
      <c r="G6" s="528" t="str">
        <f>IF(Machine!B15&gt;0,Machine!B15," ")</f>
        <v xml:space="preserve"> </v>
      </c>
      <c r="H6" s="97" t="str">
        <f>IF(Machine!B15&gt;0,Machine!D15," ")</f>
        <v xml:space="preserve"> 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 t="str">
        <f>IF(Trips!G9&gt;0,Trips!G9," ")</f>
        <v xml:space="preserve"> </v>
      </c>
      <c r="C10" s="96" t="str">
        <f>IF(Trips!H9&gt;0,Trips!H9," ")</f>
        <v xml:space="preserve"> </v>
      </c>
      <c r="D10" s="96" t="str">
        <f>IF(Trips!I9&gt;0,Trips!I9," ")</f>
        <v xml:space="preserve"> </v>
      </c>
      <c r="E10" s="96" t="str">
        <f>IF(Trips!J9&gt;0,Trips!J9," ")</f>
        <v xml:space="preserve"> </v>
      </c>
      <c r="F10" s="96" t="str">
        <f>IF(Trips!K9&gt;0,Trips!K9," ")</f>
        <v xml:space="preserve"> </v>
      </c>
      <c r="G10" s="528" t="str">
        <f>IF(Machine!B19&gt;0,Machine!B19," ")</f>
        <v xml:space="preserve"> </v>
      </c>
      <c r="H10" s="97" t="str">
        <f>IF(Machine!B19&gt;0,Machine!D19," ")</f>
        <v xml:space="preserve"> </v>
      </c>
    </row>
    <row r="11" spans="1:8" ht="13.9" x14ac:dyDescent="0.4">
      <c r="A11" s="91" t="str">
        <f>Machine!A20</f>
        <v>Bedder, Hipper</v>
      </c>
      <c r="B11" s="96">
        <f>IF(Trips!G10&gt;0,Trips!G10," ")</f>
        <v>8.575859042404959</v>
      </c>
      <c r="C11" s="96">
        <f>IF(Trips!H10&gt;0,Trips!H10," ")</f>
        <v>1.0846891460606569</v>
      </c>
      <c r="D11" s="96">
        <f>IF(Trips!I10&gt;0,Trips!I10," ")</f>
        <v>1.5013552631578946</v>
      </c>
      <c r="E11" s="96">
        <f>IF(Trips!J10&gt;0,Trips!J10," ")</f>
        <v>0.93012719298245616</v>
      </c>
      <c r="F11" s="96">
        <f>IF(Trips!K10&gt;0,Trips!K10," ")</f>
        <v>12.092030644605964</v>
      </c>
      <c r="G11" s="528">
        <f>IF(Machine!B20&gt;0,Machine!B20," ")</f>
        <v>2</v>
      </c>
      <c r="H11" s="97">
        <f>IF(Machine!B20&gt;0,Machine!D20," ")</f>
        <v>38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 t="str">
        <f>IF(Trips!G15&gt;0,Trips!G15," ")</f>
        <v xml:space="preserve"> </v>
      </c>
      <c r="C16" s="96" t="str">
        <f>IF(Trips!H15&gt;0,Trips!H15," ")</f>
        <v xml:space="preserve"> </v>
      </c>
      <c r="D16" s="96" t="str">
        <f>IF(Trips!I15&gt;0,Trips!I15," ")</f>
        <v xml:space="preserve"> </v>
      </c>
      <c r="E16" s="96" t="str">
        <f>IF(Trips!J15&gt;0,Trips!J15," ")</f>
        <v xml:space="preserve"> </v>
      </c>
      <c r="F16" s="96" t="str">
        <f>IF(Trips!K15&gt;0,Trips!K15," ")</f>
        <v xml:space="preserve"> </v>
      </c>
      <c r="G16" s="528" t="str">
        <f>IF(Machine!B25&gt;0,Machine!B25," ")</f>
        <v xml:space="preserve"> 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 t="str">
        <f>IF(Trips!G17&gt;0,Trips!G17," ")</f>
        <v xml:space="preserve"> </v>
      </c>
      <c r="C18" s="96" t="str">
        <f>IF(Trips!H17&gt;0,Trips!H17," ")</f>
        <v xml:space="preserve"> </v>
      </c>
      <c r="D18" s="96" t="str">
        <f>IF(Trips!I17&gt;0,Trips!I17," ")</f>
        <v xml:space="preserve"> </v>
      </c>
      <c r="E18" s="96" t="str">
        <f>IF(Trips!J17&gt;0,Trips!J17," ")</f>
        <v xml:space="preserve"> </v>
      </c>
      <c r="F18" s="96" t="str">
        <f>IF(Trips!K17&gt;0,Trips!K17," ")</f>
        <v xml:space="preserve"> </v>
      </c>
      <c r="G18" s="528" t="str">
        <f>IF(Machine!B27&gt;0,Machine!B27," ")</f>
        <v xml:space="preserve"> </v>
      </c>
      <c r="H18" s="97" t="str">
        <f>IF(Machine!B27&gt;0,Machine!D27," ")</f>
        <v xml:space="preserve"> </v>
      </c>
    </row>
    <row r="19" spans="1:8" ht="13.9" x14ac:dyDescent="0.4">
      <c r="A19" s="91" t="str">
        <f>Machine!A28</f>
        <v>Field Cultivator</v>
      </c>
      <c r="B19" s="96" t="str">
        <f>IF(Trips!G18&gt;0,Trips!G18," ")</f>
        <v xml:space="preserve"> </v>
      </c>
      <c r="C19" s="96" t="str">
        <f>IF(Trips!H18&gt;0,Trips!H18," ")</f>
        <v xml:space="preserve"> </v>
      </c>
      <c r="D19" s="96" t="str">
        <f>IF(Trips!I18&gt;0,Trips!I18," ")</f>
        <v xml:space="preserve"> </v>
      </c>
      <c r="E19" s="96" t="str">
        <f>IF(Trips!J18&gt;0,Trips!J18," ")</f>
        <v xml:space="preserve"> </v>
      </c>
      <c r="F19" s="96" t="str">
        <f>IF(Trips!K18&gt;0,Trips!K18," ")</f>
        <v xml:space="preserve"> </v>
      </c>
      <c r="G19" s="528" t="str">
        <f>IF(Machine!B28&gt;0,Machine!B28," ")</f>
        <v xml:space="preserve"> </v>
      </c>
      <c r="H19" s="97" t="str">
        <f>IF(Machine!B28&gt;0,Machine!D28," ")</f>
        <v xml:space="preserve"> </v>
      </c>
    </row>
    <row r="20" spans="1:8" ht="13.9" x14ac:dyDescent="0.4">
      <c r="A20" s="91" t="str">
        <f>Machine!A29</f>
        <v>Row Crop Cultivator, Row Middles</v>
      </c>
      <c r="B20" s="96">
        <f>IF(Trips!G19&gt;0,Trips!G19," ")</f>
        <v>4.9857054040011874</v>
      </c>
      <c r="C20" s="96">
        <f>IF(Trips!H19&gt;0,Trips!H19," ")</f>
        <v>0.45171120485025068</v>
      </c>
      <c r="D20" s="96">
        <f>IF(Trips!I19&gt;0,Trips!I19," ")</f>
        <v>0.96515695488721776</v>
      </c>
      <c r="E20" s="96">
        <f>IF(Trips!J19&gt;0,Trips!J19," ")</f>
        <v>0.59793890977443598</v>
      </c>
      <c r="F20" s="96">
        <f>IF(Trips!K19&gt;0,Trips!K19," ")</f>
        <v>7.0005124735130924</v>
      </c>
      <c r="G20" s="528">
        <f>IF(Machine!B29&gt;0,Machine!B29," ")</f>
        <v>1</v>
      </c>
      <c r="H20" s="97">
        <f>IF(Machine!B29&gt;0,Machine!D29," ")</f>
        <v>38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 t="str">
        <f>IF(Trips!G22&gt;0,Trips!G22," ")</f>
        <v xml:space="preserve"> </v>
      </c>
      <c r="C23" s="96" t="str">
        <f>IF(Trips!H22&gt;0,Trips!H22," ")</f>
        <v xml:space="preserve"> </v>
      </c>
      <c r="D23" s="96" t="str">
        <f>IF(Trips!I22&gt;0,Trips!I22," ")</f>
        <v xml:space="preserve"> </v>
      </c>
      <c r="E23" s="96" t="str">
        <f>IF(Trips!J22&gt;0,Trips!J22," ")</f>
        <v xml:space="preserve"> </v>
      </c>
      <c r="F23" s="96" t="str">
        <f>IF(Trips!K22&gt;0,Trips!K22," ")</f>
        <v xml:space="preserve"> </v>
      </c>
      <c r="G23" s="528" t="str">
        <f>IF(Machine!B32&gt;0,Machine!B32," ")</f>
        <v xml:space="preserve"> </v>
      </c>
      <c r="H23" s="97" t="str">
        <f>IF(Machine!B32&gt;0,Machine!D32," ")</f>
        <v xml:space="preserve"> 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>
        <f>IF(Trips!G24&gt;0,Trips!G24," ")</f>
        <v>4.1824183654847626</v>
      </c>
      <c r="C25" s="96">
        <f>IF(Trips!H24&gt;0,Trips!H24," ")</f>
        <v>0.5321405183449972</v>
      </c>
      <c r="D25" s="96">
        <f>IF(Trips!I24&gt;0,Trips!I24," ")</f>
        <v>0.90838301636444041</v>
      </c>
      <c r="E25" s="96">
        <f>IF(Trips!J24&gt;0,Trips!J24," ")</f>
        <v>0.56276603272888104</v>
      </c>
      <c r="F25" s="96">
        <f>IF(Trips!K24&gt;0,Trips!K24," ")</f>
        <v>6.1857079329230809</v>
      </c>
      <c r="G25" s="528">
        <f>IF(Machine!B34&gt;0,Machine!B34," ")</f>
        <v>1</v>
      </c>
      <c r="H25" s="97">
        <f>IF(Machine!B34&gt;0,Machine!D34," ")</f>
        <v>38</v>
      </c>
    </row>
    <row r="26" spans="1:8" ht="13.9" x14ac:dyDescent="0.4">
      <c r="A26" s="91" t="str">
        <f>Machine!A35</f>
        <v>Planter</v>
      </c>
      <c r="B26" s="96">
        <f>IF(Trips!G25&gt;0,Trips!G25," ")</f>
        <v>9.5302699588514628</v>
      </c>
      <c r="C26" s="96">
        <f>IF(Trips!H25&gt;0,Trips!H25," ")</f>
        <v>2.554164181520203</v>
      </c>
      <c r="D26" s="96">
        <f>IF(Trips!I25&gt;0,Trips!I25," ")</f>
        <v>1.2402499999999999</v>
      </c>
      <c r="E26" s="96">
        <f>IF(Trips!J25&gt;0,Trips!J25," ")</f>
        <v>1.0108482905982903</v>
      </c>
      <c r="F26" s="96">
        <f>IF(Trips!K25&gt;0,Trips!K25," ")</f>
        <v>14.335532430969955</v>
      </c>
      <c r="G26" s="528">
        <f>IF(Machine!B35&gt;0,Machine!B35," ")</f>
        <v>1</v>
      </c>
      <c r="H26" s="97">
        <f>IF(Machine!B35&gt;0,Machine!D35," ")</f>
        <v>36</v>
      </c>
    </row>
    <row r="27" spans="1:8" ht="13.9" x14ac:dyDescent="0.4">
      <c r="A27" s="91" t="str">
        <f>Machine!A36</f>
        <v>Planter Twin Row</v>
      </c>
      <c r="B27" s="96" t="str">
        <f>IF(Trips!G26&gt;0,Trips!G26," ")</f>
        <v xml:space="preserve"> </v>
      </c>
      <c r="C27" s="96" t="str">
        <f>IF(Trips!H26&gt;0,Trips!H26," ")</f>
        <v xml:space="preserve"> </v>
      </c>
      <c r="D27" s="96" t="str">
        <f>IF(Trips!I26&gt;0,Trips!I26," ")</f>
        <v xml:space="preserve"> </v>
      </c>
      <c r="E27" s="96" t="str">
        <f>IF(Trips!J26&gt;0,Trips!J26," ")</f>
        <v xml:space="preserve"> </v>
      </c>
      <c r="F27" s="96" t="str">
        <f>IF(Trips!K26&gt;0,Trips!K26," ")</f>
        <v xml:space="preserve"> </v>
      </c>
      <c r="G27" s="528" t="str">
        <f>IF(Machine!B36&gt;0,Machine!B36," ")</f>
        <v xml:space="preserve"> </v>
      </c>
      <c r="H27" s="97" t="str">
        <f>IF(Machine!B36&gt;0,Machine!D36," ")</f>
        <v xml:space="preserve"> </v>
      </c>
    </row>
    <row r="28" spans="1:8" ht="13.9" x14ac:dyDescent="0.4">
      <c r="A28" s="91" t="str">
        <f>Machine!A37</f>
        <v>Plant Grain Drill</v>
      </c>
      <c r="B28" s="96" t="str">
        <f>IF(Trips!G27&gt;0,Trips!G27," ")</f>
        <v xml:space="preserve"> </v>
      </c>
      <c r="C28" s="96" t="str">
        <f>IF(Trips!H27&gt;0,Trips!H27," ")</f>
        <v xml:space="preserve"> </v>
      </c>
      <c r="D28" s="96" t="str">
        <f>IF(Trips!I27&gt;0,Trips!I27," ")</f>
        <v xml:space="preserve"> </v>
      </c>
      <c r="E28" s="96" t="str">
        <f>IF(Trips!J27&gt;0,Trips!J27," ")</f>
        <v xml:space="preserve"> </v>
      </c>
      <c r="F28" s="96" t="str">
        <f>IF(Trips!K27&gt;0,Trips!K27," ")</f>
        <v xml:space="preserve"> </v>
      </c>
      <c r="G28" s="528" t="str">
        <f>IF(Machine!B37&gt;0,Machine!B37," ")</f>
        <v xml:space="preserve"> </v>
      </c>
      <c r="H28" s="97" t="str">
        <f>IF(Machine!B37&gt;0,Machine!D37," ")</f>
        <v xml:space="preserve"> 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>
        <f>IF(Trips!G31&gt;0,Trips!G31," ")</f>
        <v>4.7865266981306949</v>
      </c>
      <c r="C32" s="96">
        <f>IF(Trips!H31&gt;0,Trips!H31," ")</f>
        <v>0.2409194160502762</v>
      </c>
      <c r="D32" s="96">
        <f>IF(Trips!I31&gt;0,Trips!I31," ")</f>
        <v>0.94578731745646449</v>
      </c>
      <c r="E32" s="96">
        <f>IF(Trips!J31&gt;0,Trips!J31," ")</f>
        <v>2.3102735119725284</v>
      </c>
      <c r="F32" s="96">
        <f>IF(Trips!K31&gt;0,Trips!K31," ")</f>
        <v>8.2835069436099644</v>
      </c>
      <c r="G32" s="528">
        <f>IF(Machine!B41&gt;0,Machine!B41," ")</f>
        <v>1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 t="str">
        <f>IF(Trips!G33&gt;0,Trips!G33," ")</f>
        <v xml:space="preserve"> </v>
      </c>
      <c r="C34" s="96" t="str">
        <f>IF(Trips!H33&gt;0,Trips!H33," ")</f>
        <v xml:space="preserve"> </v>
      </c>
      <c r="D34" s="96" t="str">
        <f>IF(Trips!I33&gt;0,Trips!I33," ")</f>
        <v xml:space="preserve"> </v>
      </c>
      <c r="E34" s="96" t="str">
        <f>IF(Trips!J33&gt;0,Trips!J33," ")</f>
        <v xml:space="preserve"> </v>
      </c>
      <c r="F34" s="96" t="str">
        <f>IF(Trips!K33&gt;0,Trips!K33," ")</f>
        <v xml:space="preserve"> </v>
      </c>
      <c r="G34" s="528" t="str">
        <f>IF(Machine!B43&gt;0,Machine!B43," ")</f>
        <v xml:space="preserve"> 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</v>
      </c>
      <c r="C37" s="96">
        <f>IF(Trips!H36&gt;0,Trips!C36," ")</f>
        <v>0</v>
      </c>
      <c r="D37" s="96">
        <f>IF(Trips!I36&gt;0,Trips!D36," ")</f>
        <v>0</v>
      </c>
      <c r="E37" s="96">
        <f>IF(Trips!J36&gt;0,Trips!E36," ")</f>
        <v>0</v>
      </c>
      <c r="F37" s="96">
        <f>IF(Trips!K36&gt;0,Trips!F36," ")</f>
        <v>0</v>
      </c>
      <c r="G37" s="121" t="str">
        <f>IF(Machine!B46&gt;0,"All"," ")</f>
        <v xml:space="preserve"> 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0</v>
      </c>
      <c r="C38" s="96">
        <f>IF(Trips!H37&gt;0,Trips!C37," ")</f>
        <v>0</v>
      </c>
      <c r="D38" s="96">
        <f>IF(Trips!I37&gt;0,Trips!D37," ")</f>
        <v>0</v>
      </c>
      <c r="E38" s="96">
        <f>IF(Trips!J37&gt;0,Trips!E37," ")</f>
        <v>0</v>
      </c>
      <c r="F38" s="96">
        <f>IF(Trips!K37&gt;0,Trips!F37," ")</f>
        <v>0</v>
      </c>
      <c r="G38" s="121" t="str">
        <f>IF(Machine!B47&gt;0,"All"," ")</f>
        <v xml:space="preserve"> 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 t="str">
        <f>IF(Trips!G38&gt;0,Trips!G38," ")</f>
        <v xml:space="preserve"> </v>
      </c>
      <c r="C39" s="96" t="str">
        <f>IF(Trips!H38&gt;0,Trips!H38," ")</f>
        <v xml:space="preserve"> </v>
      </c>
      <c r="D39" s="96" t="str">
        <f>IF(Trips!I38&gt;0,Trips!I38," ")</f>
        <v xml:space="preserve"> </v>
      </c>
      <c r="E39" s="96" t="str">
        <f>IF(Trips!J38&gt;0,Trips!J38," ")</f>
        <v xml:space="preserve"> </v>
      </c>
      <c r="F39" s="96" t="str">
        <f>IF(Trips!K38&gt;0,Trips!K38," ")</f>
        <v xml:space="preserve"> </v>
      </c>
      <c r="G39" s="528" t="str">
        <f>IF(Machine!B48&gt;0,Machine!B48," ")</f>
        <v xml:space="preserve"> </v>
      </c>
      <c r="H39" s="97" t="str">
        <f>IF(Machine!B48&gt;0,Machine!D48," ")</f>
        <v xml:space="preserve"> </v>
      </c>
    </row>
    <row r="40" spans="1:8" ht="13.9" x14ac:dyDescent="0.4">
      <c r="A40" s="91" t="str">
        <f>Machine!A49</f>
        <v>Peanut Conditioner</v>
      </c>
      <c r="B40" s="96" t="str">
        <f>IF(Trips!G39&gt;0,Trips!G39," ")</f>
        <v xml:space="preserve"> </v>
      </c>
      <c r="C40" s="96" t="str">
        <f>IF(Trips!H39&gt;0,Trips!H39," ")</f>
        <v xml:space="preserve"> </v>
      </c>
      <c r="D40" s="96" t="str">
        <f>IF(Trips!I39&gt;0,Trips!I39," ")</f>
        <v xml:space="preserve"> </v>
      </c>
      <c r="E40" s="96" t="str">
        <f>IF(Trips!J39&gt;0,Trips!J39," ")</f>
        <v xml:space="preserve"> </v>
      </c>
      <c r="F40" s="96" t="str">
        <f>IF(Trips!K39&gt;0,Trips!K39," ")</f>
        <v xml:space="preserve"> </v>
      </c>
      <c r="G40" s="528" t="str">
        <f>IF(Machine!B49&gt;0,Machine!B49," ")</f>
        <v xml:space="preserve"> </v>
      </c>
      <c r="H40" s="97" t="str">
        <f>IF(Machine!B49&gt;0,Machine!D49," ")</f>
        <v xml:space="preserve"> 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>
        <f>IF(Trips!G41&gt;0,Trips!G41," ")</f>
        <v>7.7996888795106489</v>
      </c>
      <c r="C42" s="96">
        <f>IF(Trips!H41&gt;0,Trips!H41," ")</f>
        <v>1.7917084821428573</v>
      </c>
      <c r="D42" s="96">
        <f>IF(Trips!I41&gt;0,Trips!I41," ")</f>
        <v>1.5547419642857141</v>
      </c>
      <c r="E42" s="96">
        <f>IF(Trips!J41&gt;0,Trips!J41," ")</f>
        <v>1.2016272321428572</v>
      </c>
      <c r="F42" s="96">
        <f>IF(Trips!K41&gt;0,Trips!K41," ")</f>
        <v>12.347766558082078</v>
      </c>
      <c r="G42" s="528">
        <f>IF(Machine!B51&gt;0,Machine!B51," ")</f>
        <v>1</v>
      </c>
      <c r="H42" s="97">
        <f>IF(Machine!B51&gt;0,Machine!D51," ")</f>
        <v>20</v>
      </c>
    </row>
    <row r="43" spans="1:8" ht="13.9" x14ac:dyDescent="0.4">
      <c r="A43" s="91" t="str">
        <f>Machine!A52</f>
        <v>Stubble Roller</v>
      </c>
      <c r="B43" s="96" t="str">
        <f>IF(Trips!G42&gt;0,Trips!G42," ")</f>
        <v xml:space="preserve"> </v>
      </c>
      <c r="C43" s="96" t="str">
        <f>IF(Trips!H42&gt;0,Trips!H42," ")</f>
        <v xml:space="preserve"> </v>
      </c>
      <c r="D43" s="96" t="str">
        <f>IF(Trips!I42&gt;0,Trips!I42," ")</f>
        <v xml:space="preserve"> </v>
      </c>
      <c r="E43" s="96" t="str">
        <f>IF(Trips!J42&gt;0,Trips!J42," ")</f>
        <v xml:space="preserve"> </v>
      </c>
      <c r="F43" s="96" t="str">
        <f>IF(Trips!K42&gt;0,Trips!K42," ")</f>
        <v xml:space="preserve"> </v>
      </c>
      <c r="G43" s="528" t="str">
        <f>IF(Machine!B52&gt;0,Machine!B52," ")</f>
        <v xml:space="preserve"> </v>
      </c>
      <c r="H43" s="97" t="str">
        <f>IF(Machine!B52&gt;0,Machine!D52," ")</f>
        <v xml:space="preserve"> 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>
        <f>IF(Trips!G57&gt;0,Trips!G57," ")</f>
        <v>116.50276396791389</v>
      </c>
      <c r="C58" s="96">
        <f>IF(Trips!H57&gt;0,Trips!H57," ")</f>
        <v>22.071246037002044</v>
      </c>
      <c r="D58" s="96">
        <f>IF(Trips!I57&gt;0,Trips!I57," ")</f>
        <v>8.3686519956489001</v>
      </c>
      <c r="E58" s="96">
        <f>IF(Trips!J57&gt;0,Trips!J57," ")</f>
        <v>2.2727089783281738</v>
      </c>
      <c r="F58" s="96">
        <f>IF(Trips!K57&gt;0,Trips!K57," ")</f>
        <v>149.21537097889302</v>
      </c>
      <c r="G58" s="528">
        <f>IF(Machine!B67&gt;0,Machine!B67," ")</f>
        <v>1</v>
      </c>
      <c r="H58" s="97">
        <f>IF(Machine!B67&gt;0,Machine!D67," ")</f>
        <v>19</v>
      </c>
    </row>
    <row r="59" spans="1:8" ht="13.9" x14ac:dyDescent="0.4">
      <c r="A59" s="91" t="str">
        <f>Machine!A68</f>
        <v>Module Handler with Tractor</v>
      </c>
      <c r="B59" s="96">
        <f>IF(Trips!G58&gt;0,Trips!G58," ")</f>
        <v>2.0662526567642967</v>
      </c>
      <c r="C59" s="96">
        <f>IF(Trips!H58&gt;0,Trips!H58," ")</f>
        <v>4.7676516646750648E-2</v>
      </c>
      <c r="D59" s="96">
        <f>IF(Trips!I58&gt;0,Trips!I58," ")</f>
        <v>0.14570420885281568</v>
      </c>
      <c r="E59" s="96">
        <f>IF(Trips!J58&gt;0,Trips!J58," ")</f>
        <v>0.11363544891640869</v>
      </c>
      <c r="F59" s="96">
        <f>IF(Trips!K58&gt;0,Trips!K58," ")</f>
        <v>2.3732688311802721</v>
      </c>
      <c r="G59" s="528">
        <f>IF(Machine!B68&gt;0,Machine!B68," ")</f>
        <v>1</v>
      </c>
      <c r="H59" s="118" t="str">
        <f>IF(Machine!B68&gt;0,"NA"," ")</f>
        <v>NA</v>
      </c>
    </row>
    <row r="60" spans="1:8" ht="13.9" x14ac:dyDescent="0.4">
      <c r="A60" s="91" t="str">
        <f>Machine!A69</f>
        <v>Combine</v>
      </c>
      <c r="B60" s="96" t="str">
        <f>IF(Trips!G59&gt;0,Trips!G59," ")</f>
        <v xml:space="preserve"> </v>
      </c>
      <c r="C60" s="96" t="str">
        <f>IF(Trips!H59&gt;0,Trips!H59," ")</f>
        <v xml:space="preserve"> </v>
      </c>
      <c r="D60" s="96" t="str">
        <f>IF(Trips!I59&gt;0,Trips!I59," ")</f>
        <v xml:space="preserve"> </v>
      </c>
      <c r="E60" s="96" t="str">
        <f>IF(Trips!J59&gt;0,Trips!J59," ")</f>
        <v xml:space="preserve"> </v>
      </c>
      <c r="F60" s="96" t="str">
        <f>IF(Trips!K59&gt;0,Trips!K59," ")</f>
        <v xml:space="preserve"> </v>
      </c>
      <c r="G60" s="528" t="str">
        <f>IF(Machine!B69&gt;0,Machine!B69," ")</f>
        <v xml:space="preserve"> </v>
      </c>
      <c r="H60" s="118" t="str">
        <f>IF(Machine!B69&gt;0,"NA"," ")</f>
        <v xml:space="preserve"> 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 t="str">
        <f>IF(Trips!G61&gt;0,Trips!G61," ")</f>
        <v xml:space="preserve"> </v>
      </c>
      <c r="C62" s="96" t="str">
        <f>IF(Trips!H61&gt;0,Trips!H61," ")</f>
        <v xml:space="preserve"> </v>
      </c>
      <c r="D62" s="118" t="str">
        <f>IF(Machine!B71&gt;0,"NA"," ")</f>
        <v xml:space="preserve"> </v>
      </c>
      <c r="E62" s="118" t="str">
        <f>IF(Machine!B71&gt;0,"NA"," ")</f>
        <v xml:space="preserve"> </v>
      </c>
      <c r="F62" s="96" t="str">
        <f>IF(Trips!K61&gt;0,Trips!K61," ")</f>
        <v xml:space="preserve"> </v>
      </c>
      <c r="G62" s="528" t="str">
        <f>IF(Machine!B71&gt;0,Machine!B71," ")</f>
        <v xml:space="preserve"> </v>
      </c>
      <c r="H62" s="97" t="str">
        <f>IF(Machine!B71&gt;0,Machine!D71," ")</f>
        <v xml:space="preserve"> </v>
      </c>
    </row>
    <row r="63" spans="1:8" ht="13.9" x14ac:dyDescent="0.4">
      <c r="A63" s="91" t="str">
        <f>Machine!A72</f>
        <v>Rice Head</v>
      </c>
      <c r="B63" s="96" t="str">
        <f>IF(Trips!G62&gt;0,Trips!G62," ")</f>
        <v xml:space="preserve"> </v>
      </c>
      <c r="C63" s="96" t="str">
        <f>IF(Trips!H62&gt;0,Trips!H62," ")</f>
        <v xml:space="preserve"> </v>
      </c>
      <c r="D63" s="118" t="str">
        <f>IF(Machine!B72&gt;0,"NA"," ")</f>
        <v xml:space="preserve"> </v>
      </c>
      <c r="E63" s="118" t="str">
        <f>IF(Machine!B72&gt;0,"NA"," ")</f>
        <v xml:space="preserve"> </v>
      </c>
      <c r="F63" s="96" t="str">
        <f>IF(Trips!K62&gt;0,Trips!K62," ")</f>
        <v xml:space="preserve"> </v>
      </c>
      <c r="G63" s="528" t="str">
        <f>IF(Machine!B72&gt;0,Machine!B72," ")</f>
        <v xml:space="preserve"> </v>
      </c>
      <c r="H63" s="97" t="str">
        <f>IF(Machine!B72&gt;0,Machine!D72," ")</f>
        <v xml:space="preserve"> </v>
      </c>
    </row>
    <row r="64" spans="1:8" ht="13.9" x14ac:dyDescent="0.4">
      <c r="A64" s="91" t="str">
        <f>Machine!A73</f>
        <v>Wheat/Sorghum Head</v>
      </c>
      <c r="B64" s="96" t="str">
        <f>IF(Trips!G63&gt;0,Trips!G63," ")</f>
        <v xml:space="preserve"> </v>
      </c>
      <c r="C64" s="96" t="str">
        <f>IF(Trips!H63&gt;0,Trips!H63," ")</f>
        <v xml:space="preserve"> </v>
      </c>
      <c r="D64" s="118" t="str">
        <f>IF(Machine!B73&gt;0,"NA"," ")</f>
        <v xml:space="preserve"> </v>
      </c>
      <c r="E64" s="118" t="str">
        <f>IF(Machine!B73&gt;0,"NA"," ")</f>
        <v xml:space="preserve"> </v>
      </c>
      <c r="F64" s="96" t="str">
        <f>IF(Trips!K63&gt;0,Trips!K63," ")</f>
        <v xml:space="preserve"> </v>
      </c>
      <c r="G64" s="528" t="str">
        <f>IF(Machine!B73&gt;0,Machine!B73," ")</f>
        <v xml:space="preserve"> </v>
      </c>
      <c r="H64" s="97" t="str">
        <f>IF(Machine!B73&gt;0,Machine!D73," ")</f>
        <v xml:space="preserve"> </v>
      </c>
    </row>
    <row r="65" spans="1:8" ht="13.9" x14ac:dyDescent="0.4">
      <c r="A65" s="91" t="str">
        <f>Machine!A74</f>
        <v>Grain Cart with Tractor</v>
      </c>
      <c r="B65" s="96" t="str">
        <f>IF(Trips!G64&gt;0,Trips!G64," ")</f>
        <v xml:space="preserve"> </v>
      </c>
      <c r="C65" s="96" t="str">
        <f>IF(Trips!H64&gt;0,Trips!H64," ")</f>
        <v xml:space="preserve"> </v>
      </c>
      <c r="D65" s="96" t="str">
        <f>IF(Trips!I64&gt;0,Trips!I64," ")</f>
        <v xml:space="preserve"> </v>
      </c>
      <c r="E65" s="96" t="str">
        <f>IF(Trips!J64&gt;0,Trips!J64," ")</f>
        <v xml:space="preserve"> </v>
      </c>
      <c r="F65" s="96" t="str">
        <f>IF(Trips!K64&gt;0,Trips!K64," ")</f>
        <v xml:space="preserve"> </v>
      </c>
      <c r="G65" s="528" t="str">
        <f>IF(Machine!B74&gt;0,Machine!B74," ")</f>
        <v xml:space="preserve"> </v>
      </c>
      <c r="H65" s="118" t="str">
        <f>IF(Machine!B74&gt;0,"NA"," ")</f>
        <v xml:space="preserve"> 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 t="str">
        <f>IF(Trips!G66&gt;0,Trips!G66," ")</f>
        <v xml:space="preserve"> </v>
      </c>
      <c r="C67" s="96" t="str">
        <f>IF(Trips!H66&gt;0,Trips!H66," ")</f>
        <v xml:space="preserve"> </v>
      </c>
      <c r="D67" s="96" t="str">
        <f>IF(Trips!I66&gt;0,Trips!I66," ")</f>
        <v xml:space="preserve"> </v>
      </c>
      <c r="E67" s="96" t="str">
        <f>IF(Trips!J66&gt;0,Trips!J66," ")</f>
        <v xml:space="preserve"> </v>
      </c>
      <c r="F67" s="96" t="str">
        <f>IF(Trips!K66&gt;0,Trips!K66," ")</f>
        <v xml:space="preserve"> </v>
      </c>
      <c r="G67" s="528" t="str">
        <f>IF(Machine!B76&gt;0,Machine!B76," ")</f>
        <v xml:space="preserve"> </v>
      </c>
      <c r="H67" s="97" t="str">
        <f>IF(Machine!B76&gt;0,Machine!D76," ")</f>
        <v xml:space="preserve"> </v>
      </c>
    </row>
    <row r="68" spans="1:8" ht="13.9" x14ac:dyDescent="0.4">
      <c r="A68" s="91" t="str">
        <f>Machine!A77</f>
        <v>Peanut Dump Cart with Tractor</v>
      </c>
      <c r="B68" s="96" t="str">
        <f>IF(Trips!G67&gt;0,Trips!G67," ")</f>
        <v xml:space="preserve"> </v>
      </c>
      <c r="C68" s="96" t="str">
        <f>IF(Trips!H67&gt;0,Trips!H67," ")</f>
        <v xml:space="preserve"> </v>
      </c>
      <c r="D68" s="96" t="str">
        <f>IF(Trips!I67&gt;0,Trips!I67," ")</f>
        <v xml:space="preserve"> </v>
      </c>
      <c r="E68" s="96" t="str">
        <f>IF(Trips!J67&gt;0,Trips!J67," ")</f>
        <v xml:space="preserve"> </v>
      </c>
      <c r="F68" s="96" t="str">
        <f>IF(Trips!K67&gt;0,Trips!K67," ")</f>
        <v xml:space="preserve"> </v>
      </c>
      <c r="G68" s="528" t="str">
        <f>IF(Machine!B77&gt;0,Machine!B77," ")</f>
        <v xml:space="preserve"> </v>
      </c>
      <c r="H68" s="118" t="str">
        <f>IF(Machine!B77&gt;0,"NA"," ")</f>
        <v xml:space="preserve"> 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34. Machinery Capital Recovery and Operating Costs, W3FE Cotton, Furrow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>
        <f>IF(Trips!G10&gt;0,Trips!G10," ")</f>
        <v>8.575859042404959</v>
      </c>
      <c r="C6" s="96">
        <f>IF(Trips!H10&gt;0,Trips!H10," ")</f>
        <v>1.0846891460606569</v>
      </c>
      <c r="D6" s="96">
        <f>IF(Trips!I10&gt;0,Trips!I10," ")</f>
        <v>1.5013552631578946</v>
      </c>
      <c r="E6" s="96">
        <f>IF(Trips!J10&gt;0,Trips!J10," ")</f>
        <v>0.93012719298245616</v>
      </c>
      <c r="F6" s="96">
        <f>IF(Trips!K10&gt;0,Trips!K10," ")</f>
        <v>12.092030644605964</v>
      </c>
      <c r="G6" s="528">
        <f>IF(Machine!B20&gt;0,Machine!B20," ")</f>
        <v>2</v>
      </c>
      <c r="H6" s="97">
        <f>IF(Machine!B20&gt;0,Machine!D20," ")</f>
        <v>38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>
        <f>IF(Trips!G24&gt;0,Trips!G24," ")</f>
        <v>4.1824183654847626</v>
      </c>
      <c r="C8" s="96">
        <f>IF(Trips!H24&gt;0,Trips!H24," ")</f>
        <v>0.5321405183449972</v>
      </c>
      <c r="D8" s="96">
        <f>IF(Trips!I24&gt;0,Trips!I24," ")</f>
        <v>0.90838301636444041</v>
      </c>
      <c r="E8" s="96">
        <f>IF(Trips!J24&gt;0,Trips!J24," ")</f>
        <v>0.56276603272888104</v>
      </c>
      <c r="F8" s="96">
        <f>IF(Trips!K24&gt;0,Trips!K24," ")</f>
        <v>6.1857079329230809</v>
      </c>
      <c r="G8" s="528">
        <f>IF(Machine!B34&gt;0,Machine!B34," ")</f>
        <v>1</v>
      </c>
      <c r="H8" s="97">
        <f>IF(Machine!B34&gt;0,Machine!D34," ")</f>
        <v>38</v>
      </c>
    </row>
    <row r="9" spans="1:8" ht="13.9" x14ac:dyDescent="0.4">
      <c r="A9" s="91" t="str">
        <f>Machine!A35</f>
        <v>Planter</v>
      </c>
      <c r="B9" s="96">
        <f>IF(Trips!G25&gt;0,Trips!G25," ")</f>
        <v>9.5302699588514628</v>
      </c>
      <c r="C9" s="96">
        <f>IF(Trips!H25&gt;0,Trips!H25," ")</f>
        <v>2.554164181520203</v>
      </c>
      <c r="D9" s="96">
        <f>IF(Trips!I25&gt;0,Trips!I25," ")</f>
        <v>1.2402499999999999</v>
      </c>
      <c r="E9" s="96">
        <f>IF(Trips!J25&gt;0,Trips!J25," ")</f>
        <v>1.0108482905982903</v>
      </c>
      <c r="F9" s="96">
        <f>IF(Trips!K25&gt;0,Trips!K25," ")</f>
        <v>14.335532430969955</v>
      </c>
      <c r="G9" s="528">
        <f>IF(Machine!B35&gt;0,Machine!B35," ")</f>
        <v>1</v>
      </c>
      <c r="H9" s="97">
        <f>IF(Machine!B35&gt;0,Machine!D35," ")</f>
        <v>36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>
        <f>IF(Trips!G31&gt;0,Trips!G31," ")</f>
        <v>4.7865266981306949</v>
      </c>
      <c r="C12" s="96">
        <f>IF(Trips!H31&gt;0,Trips!H31," ")</f>
        <v>0.2409194160502762</v>
      </c>
      <c r="D12" s="96">
        <f>IF(Trips!I31&gt;0,Trips!I31," ")</f>
        <v>0.94578731745646449</v>
      </c>
      <c r="E12" s="96">
        <f>IF(Trips!J31&gt;0,Trips!J31," ")</f>
        <v>2.3102735119725284</v>
      </c>
      <c r="F12" s="96">
        <f>IF(Trips!K31&gt;0,Trips!K31," ")</f>
        <v>8.2835069436099644</v>
      </c>
      <c r="G12" s="528">
        <f>IF(Machine!B41&gt;0,Machine!B41," ")</f>
        <v>1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>
        <f>IF(Trips!G41&gt;0,Trips!G41," ")</f>
        <v>7.7996888795106489</v>
      </c>
      <c r="C14" s="96">
        <f>IF(Trips!H41&gt;0,Trips!H41," ")</f>
        <v>1.7917084821428573</v>
      </c>
      <c r="D14" s="96">
        <f>IF(Trips!I41&gt;0,Trips!I41," ")</f>
        <v>1.5547419642857141</v>
      </c>
      <c r="E14" s="96">
        <f>IF(Trips!J41&gt;0,Trips!J41," ")</f>
        <v>1.2016272321428572</v>
      </c>
      <c r="F14" s="96">
        <f>IF(Trips!K41&gt;0,Trips!K41," ")</f>
        <v>12.347766558082078</v>
      </c>
      <c r="G14" s="528">
        <f>IF(Machine!B51&gt;0,Machine!B51," ")</f>
        <v>1</v>
      </c>
      <c r="H14" s="97">
        <f>IF(Machine!B51&gt;0,Machine!D51," ")</f>
        <v>20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0</v>
      </c>
      <c r="T15" s="89">
        <f>J15*O15*S15</f>
        <v>0</v>
      </c>
      <c r="U15" s="89">
        <f t="shared" ref="U15:U42" si="6">(((P15-(AQ15*P15))*AS15)+(AR15*(AQ15*P15)))/AO15</f>
        <v>75.989555598878766</v>
      </c>
      <c r="V15" s="89">
        <f>U15*O15*S15</f>
        <v>0</v>
      </c>
      <c r="W15" s="1144">
        <f t="shared" ref="W15:Y54" si="7">IF($T15&gt;0,((((($C15+($C15*$F15)+($C15/$E15))/2)*W$12)/$D15)*$O15),0)+IF($V15&gt;0,((((($P15+($P15*$AQ15)+($P15/$AP15))/2)*W$12)/$AO15)*$O15),0)</f>
        <v>0</v>
      </c>
      <c r="X15" s="1144">
        <f t="shared" si="2"/>
        <v>0</v>
      </c>
      <c r="Y15" s="1144">
        <f t="shared" si="2"/>
        <v>0</v>
      </c>
      <c r="Z15" s="1136">
        <f t="shared" ref="Z15:Z54" si="8">T15+V15+(SUM(W15:Y15)*S15)</f>
        <v>0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</v>
      </c>
      <c r="AG15" s="229">
        <f>0.044*R15</f>
        <v>10.119999999999999</v>
      </c>
      <c r="AH15" s="89">
        <f>AG15*O15*$AI$11*S15</f>
        <v>0</v>
      </c>
      <c r="AI15" s="89">
        <f>AH15*0.1</f>
        <v>0</v>
      </c>
      <c r="AJ15" s="89">
        <f t="shared" ref="AJ15:AJ51" si="10">AH15</f>
        <v>0</v>
      </c>
      <c r="AK15" s="227">
        <f>EquipmentSpecs!L15</f>
        <v>1.04</v>
      </c>
      <c r="AL15" s="226">
        <f>O15*S15*AK15</f>
        <v>0</v>
      </c>
      <c r="AM15" s="230">
        <f>AL15*$AL$11</f>
        <v>0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0</v>
      </c>
      <c r="T19" s="89">
        <f t="shared" ref="T19:T51" si="14">J19*O19*S19</f>
        <v>0</v>
      </c>
      <c r="U19" s="89">
        <f t="shared" si="6"/>
        <v>75.989555598878766</v>
      </c>
      <c r="V19" s="89">
        <f t="shared" ref="V19:V51" si="15">U19*O19*S19</f>
        <v>0</v>
      </c>
      <c r="W19" s="1144">
        <f t="shared" si="7"/>
        <v>0</v>
      </c>
      <c r="X19" s="1144">
        <f t="shared" si="2"/>
        <v>0</v>
      </c>
      <c r="Y19" s="1144">
        <f t="shared" si="2"/>
        <v>0</v>
      </c>
      <c r="Z19" s="1136">
        <f t="shared" si="8"/>
        <v>0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</v>
      </c>
      <c r="AG19" s="229">
        <f t="shared" ref="AG19:AG51" si="18">0.044*R19</f>
        <v>10.119999999999999</v>
      </c>
      <c r="AH19" s="89">
        <f t="shared" ref="AH19:AH51" si="19">AG19*O19*$AI$11*S19</f>
        <v>0</v>
      </c>
      <c r="AI19" s="89">
        <f t="shared" ref="AI19:AI51" si="20">AH19*0.1</f>
        <v>0</v>
      </c>
      <c r="AJ19" s="89">
        <f t="shared" si="10"/>
        <v>0</v>
      </c>
      <c r="AK19" s="227">
        <f>EquipmentSpecs!L19</f>
        <v>1.04</v>
      </c>
      <c r="AL19" s="226">
        <f t="shared" ref="AL19:AL51" si="21">O19*S19*AK19</f>
        <v>0</v>
      </c>
      <c r="AM19" s="230">
        <f t="shared" ref="AM19:AM51" si="22">AL19*$AL$11</f>
        <v>0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2</v>
      </c>
      <c r="T20" s="89">
        <f t="shared" si="14"/>
        <v>5.8046352206359444</v>
      </c>
      <c r="U20" s="89">
        <f t="shared" si="6"/>
        <v>75.989555598878766</v>
      </c>
      <c r="V20" s="89">
        <f t="shared" si="15"/>
        <v>9.1654069253033601</v>
      </c>
      <c r="W20" s="1144">
        <f t="shared" si="7"/>
        <v>0.37357464706688598</v>
      </c>
      <c r="X20" s="1144">
        <f t="shared" si="2"/>
        <v>0.37357464706688598</v>
      </c>
      <c r="Y20" s="1144">
        <f t="shared" si="2"/>
        <v>0.34368867530153502</v>
      </c>
      <c r="Z20" s="1136">
        <f t="shared" si="8"/>
        <v>17.151718084809918</v>
      </c>
      <c r="AA20" s="227">
        <f>EquipmentSpecs!J20</f>
        <v>0.18</v>
      </c>
      <c r="AB20" s="228">
        <f>EquipmentSpecs!K20</f>
        <v>1.7</v>
      </c>
      <c r="AC20" s="89">
        <f t="shared" si="16"/>
        <v>1.3341598710686824</v>
      </c>
      <c r="AD20" s="84">
        <f t="shared" si="17"/>
        <v>3.0000000000000001E-3</v>
      </c>
      <c r="AE20" s="229">
        <v>2</v>
      </c>
      <c r="AF20" s="89">
        <f t="shared" si="9"/>
        <v>0.83521842105263155</v>
      </c>
      <c r="AG20" s="229">
        <f t="shared" si="18"/>
        <v>10.119999999999999</v>
      </c>
      <c r="AH20" s="89">
        <f t="shared" si="19"/>
        <v>3.0027105263157892</v>
      </c>
      <c r="AI20" s="89">
        <f t="shared" si="20"/>
        <v>0.30027105263157894</v>
      </c>
      <c r="AJ20" s="89">
        <f t="shared" si="10"/>
        <v>3.0027105263157892</v>
      </c>
      <c r="AK20" s="227">
        <f>EquipmentSpecs!L20</f>
        <v>1.04</v>
      </c>
      <c r="AL20" s="226">
        <f t="shared" si="21"/>
        <v>0.12543859649122807</v>
      </c>
      <c r="AM20" s="230">
        <f t="shared" si="22"/>
        <v>1.8602543859649123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0</v>
      </c>
      <c r="T25" s="89">
        <f t="shared" si="14"/>
        <v>0</v>
      </c>
      <c r="U25" s="89">
        <f t="shared" si="6"/>
        <v>36.514461781279415</v>
      </c>
      <c r="V25" s="89">
        <f t="shared" si="15"/>
        <v>0</v>
      </c>
      <c r="W25" s="1144">
        <f t="shared" si="7"/>
        <v>0</v>
      </c>
      <c r="X25" s="1144">
        <f t="shared" si="2"/>
        <v>0</v>
      </c>
      <c r="Y25" s="1144">
        <f t="shared" si="2"/>
        <v>0</v>
      </c>
      <c r="Z25" s="1136">
        <f t="shared" si="8"/>
        <v>0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0</v>
      </c>
      <c r="AD25" s="84">
        <f t="shared" si="17"/>
        <v>3.0000000000000001E-3</v>
      </c>
      <c r="AE25" s="229">
        <v>2</v>
      </c>
      <c r="AF25" s="89">
        <f t="shared" si="9"/>
        <v>0</v>
      </c>
      <c r="AG25" s="229">
        <f t="shared" si="18"/>
        <v>7.6999999999999993</v>
      </c>
      <c r="AH25" s="89">
        <f t="shared" si="19"/>
        <v>0</v>
      </c>
      <c r="AI25" s="89">
        <f t="shared" si="20"/>
        <v>0</v>
      </c>
      <c r="AJ25" s="89">
        <f t="shared" si="10"/>
        <v>0</v>
      </c>
      <c r="AK25" s="227">
        <f>EquipmentSpecs!L25</f>
        <v>1.04</v>
      </c>
      <c r="AL25" s="226">
        <f t="shared" si="21"/>
        <v>0</v>
      </c>
      <c r="AM25" s="230">
        <f t="shared" si="22"/>
        <v>0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0</v>
      </c>
      <c r="T27" s="89">
        <f>J27*O27*S27</f>
        <v>0</v>
      </c>
      <c r="U27" s="89">
        <f t="shared" si="6"/>
        <v>75.989555598878766</v>
      </c>
      <c r="V27" s="89">
        <f>U27*O27*S27</f>
        <v>0</v>
      </c>
      <c r="W27" s="1144">
        <f t="shared" si="7"/>
        <v>0</v>
      </c>
      <c r="X27" s="1144">
        <f t="shared" si="2"/>
        <v>0</v>
      </c>
      <c r="Y27" s="1144">
        <f t="shared" si="2"/>
        <v>0</v>
      </c>
      <c r="Z27" s="1136">
        <f t="shared" si="8"/>
        <v>0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</v>
      </c>
      <c r="AD27" s="84">
        <f>IF(Q27=4,0.003,0.007)</f>
        <v>3.0000000000000001E-3</v>
      </c>
      <c r="AE27" s="229">
        <v>2</v>
      </c>
      <c r="AF27" s="89">
        <f t="shared" si="9"/>
        <v>0</v>
      </c>
      <c r="AG27" s="229">
        <f>0.044*R27</f>
        <v>10.119999999999999</v>
      </c>
      <c r="AH27" s="89">
        <f>AG27*O27*$AI$11*S27</f>
        <v>0</v>
      </c>
      <c r="AI27" s="89">
        <f>AH27*0.1</f>
        <v>0</v>
      </c>
      <c r="AJ27" s="89">
        <f t="shared" si="10"/>
        <v>0</v>
      </c>
      <c r="AK27" s="227">
        <f>EquipmentSpecs!L27</f>
        <v>1.04</v>
      </c>
      <c r="AL27" s="226">
        <f>O27*S27*AK27</f>
        <v>0</v>
      </c>
      <c r="AM27" s="230">
        <f>AL27*$AL$11</f>
        <v>0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0</v>
      </c>
      <c r="T28" s="89">
        <f t="shared" si="14"/>
        <v>0</v>
      </c>
      <c r="U28" s="89">
        <f t="shared" si="6"/>
        <v>75.989555598878766</v>
      </c>
      <c r="V28" s="89">
        <f t="shared" si="15"/>
        <v>0</v>
      </c>
      <c r="W28" s="1144">
        <f t="shared" si="7"/>
        <v>0</v>
      </c>
      <c r="X28" s="1144">
        <f t="shared" si="2"/>
        <v>0</v>
      </c>
      <c r="Y28" s="1144">
        <f t="shared" si="2"/>
        <v>0</v>
      </c>
      <c r="Z28" s="1136">
        <f t="shared" si="8"/>
        <v>0</v>
      </c>
      <c r="AA28" s="227">
        <f>EquipmentSpecs!J28</f>
        <v>0.27</v>
      </c>
      <c r="AB28" s="228">
        <f>EquipmentSpecs!K28</f>
        <v>1.4</v>
      </c>
      <c r="AC28" s="89">
        <f t="shared" si="16"/>
        <v>0</v>
      </c>
      <c r="AD28" s="84">
        <f t="shared" si="17"/>
        <v>3.0000000000000001E-3</v>
      </c>
      <c r="AE28" s="229">
        <v>2</v>
      </c>
      <c r="AF28" s="89">
        <f t="shared" si="9"/>
        <v>0</v>
      </c>
      <c r="AG28" s="229">
        <f t="shared" si="18"/>
        <v>10.119999999999999</v>
      </c>
      <c r="AH28" s="89">
        <f t="shared" si="19"/>
        <v>0</v>
      </c>
      <c r="AI28" s="89">
        <f t="shared" si="20"/>
        <v>0</v>
      </c>
      <c r="AJ28" s="89">
        <f t="shared" si="10"/>
        <v>0</v>
      </c>
      <c r="AK28" s="227">
        <f>EquipmentSpecs!L28</f>
        <v>1.04</v>
      </c>
      <c r="AL28" s="226">
        <f t="shared" si="21"/>
        <v>0</v>
      </c>
      <c r="AM28" s="230">
        <f t="shared" si="22"/>
        <v>0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1</v>
      </c>
      <c r="T29" s="89">
        <f>J29*O29*S29</f>
        <v>1.4050457179544311</v>
      </c>
      <c r="U29" s="89">
        <f t="shared" si="6"/>
        <v>75.989555598878766</v>
      </c>
      <c r="V29" s="89">
        <f>U29*O29*S29</f>
        <v>2.9460236545617939</v>
      </c>
      <c r="W29" s="1144">
        <f t="shared" si="7"/>
        <v>0.2173411066729323</v>
      </c>
      <c r="X29" s="1144">
        <f t="shared" si="2"/>
        <v>0.2173411066729323</v>
      </c>
      <c r="Y29" s="1144">
        <f t="shared" si="2"/>
        <v>0.19995381813909768</v>
      </c>
      <c r="Z29" s="1136">
        <f t="shared" si="8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0.18324814094047631</v>
      </c>
      <c r="AD29" s="84">
        <f>IF(Q29=4,0.003,0.007)</f>
        <v>3.0000000000000001E-3</v>
      </c>
      <c r="AE29" s="229">
        <v>2</v>
      </c>
      <c r="AF29" s="89">
        <f t="shared" si="9"/>
        <v>0.26846306390977437</v>
      </c>
      <c r="AG29" s="229">
        <f>0.044*R29</f>
        <v>10.119999999999999</v>
      </c>
      <c r="AH29" s="89">
        <f>AG29*O29*$AI$11*S29</f>
        <v>0.96515695488721776</v>
      </c>
      <c r="AI29" s="89">
        <f>AH29*0.1</f>
        <v>9.6515695488721784E-2</v>
      </c>
      <c r="AJ29" s="89">
        <f t="shared" si="10"/>
        <v>0.96515695488721776</v>
      </c>
      <c r="AK29" s="227">
        <f>EquipmentSpecs!L29</f>
        <v>1.04</v>
      </c>
      <c r="AL29" s="226">
        <f>O29*S29*AK29</f>
        <v>4.0319548872180443E-2</v>
      </c>
      <c r="AM29" s="230">
        <f>AL29*$AL$11</f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0</v>
      </c>
      <c r="T32" s="89">
        <f t="shared" si="14"/>
        <v>0</v>
      </c>
      <c r="U32" s="89">
        <f t="shared" si="6"/>
        <v>61.186395417279016</v>
      </c>
      <c r="V32" s="89">
        <f t="shared" si="15"/>
        <v>0</v>
      </c>
      <c r="W32" s="1144">
        <f t="shared" si="7"/>
        <v>0</v>
      </c>
      <c r="X32" s="1144">
        <f t="shared" si="7"/>
        <v>0</v>
      </c>
      <c r="Y32" s="1144">
        <f t="shared" si="7"/>
        <v>0</v>
      </c>
      <c r="Z32" s="1136">
        <f t="shared" si="8"/>
        <v>0</v>
      </c>
      <c r="AA32" s="227">
        <f>EquipmentSpecs!J32</f>
        <v>0.16</v>
      </c>
      <c r="AB32" s="228">
        <f>EquipmentSpecs!K32</f>
        <v>1.3</v>
      </c>
      <c r="AC32" s="89">
        <f t="shared" si="16"/>
        <v>0</v>
      </c>
      <c r="AD32" s="84">
        <f t="shared" si="17"/>
        <v>3.0000000000000001E-3</v>
      </c>
      <c r="AE32" s="229">
        <v>2</v>
      </c>
      <c r="AF32" s="89">
        <f t="shared" si="9"/>
        <v>0</v>
      </c>
      <c r="AG32" s="229">
        <f t="shared" si="18"/>
        <v>8.58</v>
      </c>
      <c r="AH32" s="89">
        <f t="shared" si="19"/>
        <v>0</v>
      </c>
      <c r="AI32" s="89">
        <f t="shared" si="20"/>
        <v>0</v>
      </c>
      <c r="AJ32" s="89">
        <f t="shared" si="10"/>
        <v>0</v>
      </c>
      <c r="AK32" s="227">
        <f>EquipmentSpecs!L32</f>
        <v>1.04</v>
      </c>
      <c r="AL32" s="226">
        <f t="shared" si="21"/>
        <v>0</v>
      </c>
      <c r="AM32" s="230">
        <f t="shared" si="22"/>
        <v>0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1</v>
      </c>
      <c r="T34" s="89">
        <f t="shared" si="14"/>
        <v>0.8782315644144405</v>
      </c>
      <c r="U34" s="89">
        <f t="shared" si="6"/>
        <v>75.989555598878766</v>
      </c>
      <c r="V34" s="89">
        <f t="shared" si="15"/>
        <v>2.772728145469924</v>
      </c>
      <c r="W34" s="1144">
        <f t="shared" si="7"/>
        <v>0.18200638890424592</v>
      </c>
      <c r="X34" s="1144">
        <f t="shared" si="7"/>
        <v>0.18200638890424592</v>
      </c>
      <c r="Y34" s="1144">
        <f t="shared" si="7"/>
        <v>0.1674458777919062</v>
      </c>
      <c r="Z34" s="1136">
        <f t="shared" si="8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16"/>
        <v>0.27946939937109178</v>
      </c>
      <c r="AD34" s="84">
        <f t="shared" si="17"/>
        <v>3.0000000000000001E-3</v>
      </c>
      <c r="AE34" s="229">
        <v>2</v>
      </c>
      <c r="AF34" s="89">
        <f t="shared" si="9"/>
        <v>0.25267111897390537</v>
      </c>
      <c r="AG34" s="229">
        <f t="shared" si="18"/>
        <v>10.119999999999999</v>
      </c>
      <c r="AH34" s="89">
        <f t="shared" si="19"/>
        <v>0.90838301636444041</v>
      </c>
      <c r="AI34" s="89">
        <f t="shared" si="20"/>
        <v>9.0838301636444047E-2</v>
      </c>
      <c r="AJ34" s="89">
        <f t="shared" si="10"/>
        <v>0.90838301636444041</v>
      </c>
      <c r="AK34" s="227">
        <f>EquipmentSpecs!L34</f>
        <v>1.04</v>
      </c>
      <c r="AL34" s="226">
        <f t="shared" si="21"/>
        <v>3.7947810703228661E-2</v>
      </c>
      <c r="AM34" s="230">
        <f t="shared" si="22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1</v>
      </c>
      <c r="T35" s="89">
        <f t="shared" si="14"/>
        <v>4.6531074743959646</v>
      </c>
      <c r="U35" s="89">
        <f t="shared" si="6"/>
        <v>61.186395417279016</v>
      </c>
      <c r="V35" s="89">
        <f t="shared" si="15"/>
        <v>3.5953544315708821</v>
      </c>
      <c r="W35" s="1144">
        <f t="shared" si="7"/>
        <v>0.43897536057692299</v>
      </c>
      <c r="X35" s="1144">
        <f t="shared" si="7"/>
        <v>0.43897536057692299</v>
      </c>
      <c r="Y35" s="1144">
        <f t="shared" si="7"/>
        <v>0.40385733173076915</v>
      </c>
      <c r="Z35" s="1136">
        <f t="shared" si="8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16"/>
        <v>2.2202930276740491</v>
      </c>
      <c r="AD35" s="84">
        <f t="shared" si="17"/>
        <v>3.0000000000000001E-3</v>
      </c>
      <c r="AE35" s="229">
        <v>2</v>
      </c>
      <c r="AF35" s="89">
        <f t="shared" si="9"/>
        <v>0.33387115384615379</v>
      </c>
      <c r="AG35" s="229">
        <f t="shared" si="18"/>
        <v>8.58</v>
      </c>
      <c r="AH35" s="89">
        <f t="shared" si="19"/>
        <v>1.2402499999999999</v>
      </c>
      <c r="AI35" s="89">
        <f t="shared" si="20"/>
        <v>0.124025</v>
      </c>
      <c r="AJ35" s="89">
        <f t="shared" si="10"/>
        <v>1.2402499999999999</v>
      </c>
      <c r="AK35" s="227">
        <f>EquipmentSpecs!L35</f>
        <v>1.1599999999999999</v>
      </c>
      <c r="AL35" s="226">
        <f t="shared" si="21"/>
        <v>6.8162393162393142E-2</v>
      </c>
      <c r="AM35" s="230">
        <f t="shared" si="22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0</v>
      </c>
      <c r="T36" s="89">
        <f t="shared" si="14"/>
        <v>0</v>
      </c>
      <c r="U36" s="89">
        <f t="shared" si="6"/>
        <v>75.989555598878766</v>
      </c>
      <c r="V36" s="89">
        <f t="shared" si="15"/>
        <v>0</v>
      </c>
      <c r="W36" s="1144">
        <f t="shared" si="7"/>
        <v>0</v>
      </c>
      <c r="X36" s="1144">
        <f t="shared" si="7"/>
        <v>0</v>
      </c>
      <c r="Y36" s="1144">
        <f t="shared" si="7"/>
        <v>0</v>
      </c>
      <c r="Z36" s="1136">
        <f t="shared" si="8"/>
        <v>0</v>
      </c>
      <c r="AA36" s="227">
        <f>EquipmentSpecs!J36</f>
        <v>0.32</v>
      </c>
      <c r="AB36" s="228">
        <f>EquipmentSpecs!K36</f>
        <v>2.1</v>
      </c>
      <c r="AC36" s="89">
        <f t="shared" si="16"/>
        <v>0</v>
      </c>
      <c r="AD36" s="84">
        <f t="shared" si="17"/>
        <v>3.0000000000000001E-3</v>
      </c>
      <c r="AE36" s="229">
        <v>2</v>
      </c>
      <c r="AF36" s="89">
        <f t="shared" si="9"/>
        <v>0</v>
      </c>
      <c r="AG36" s="229">
        <f t="shared" si="18"/>
        <v>10.119999999999999</v>
      </c>
      <c r="AH36" s="89">
        <f t="shared" si="19"/>
        <v>0</v>
      </c>
      <c r="AI36" s="89">
        <f t="shared" si="20"/>
        <v>0</v>
      </c>
      <c r="AJ36" s="89">
        <f t="shared" si="10"/>
        <v>0</v>
      </c>
      <c r="AK36" s="227">
        <f>EquipmentSpecs!L36</f>
        <v>1.1599999999999999</v>
      </c>
      <c r="AL36" s="226">
        <f t="shared" si="21"/>
        <v>0</v>
      </c>
      <c r="AM36" s="230">
        <f t="shared" si="22"/>
        <v>0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0</v>
      </c>
      <c r="T37" s="89">
        <f t="shared" si="14"/>
        <v>0</v>
      </c>
      <c r="U37" s="89">
        <f t="shared" si="6"/>
        <v>75.989555598878766</v>
      </c>
      <c r="V37" s="89">
        <f t="shared" si="15"/>
        <v>0</v>
      </c>
      <c r="W37" s="1144">
        <f t="shared" si="7"/>
        <v>0</v>
      </c>
      <c r="X37" s="1144">
        <f t="shared" si="7"/>
        <v>0</v>
      </c>
      <c r="Y37" s="1144">
        <f t="shared" si="7"/>
        <v>0</v>
      </c>
      <c r="Z37" s="1136">
        <f t="shared" si="8"/>
        <v>0</v>
      </c>
      <c r="AA37" s="227">
        <f>EquipmentSpecs!J37</f>
        <v>0.32</v>
      </c>
      <c r="AB37" s="228">
        <f>EquipmentSpecs!K37</f>
        <v>2.1</v>
      </c>
      <c r="AC37" s="89">
        <f t="shared" si="16"/>
        <v>0</v>
      </c>
      <c r="AD37" s="84">
        <f t="shared" si="17"/>
        <v>3.0000000000000001E-3</v>
      </c>
      <c r="AE37" s="229">
        <v>2</v>
      </c>
      <c r="AF37" s="89">
        <f t="shared" si="9"/>
        <v>0</v>
      </c>
      <c r="AG37" s="229">
        <f t="shared" si="18"/>
        <v>10.119999999999999</v>
      </c>
      <c r="AH37" s="89">
        <f t="shared" si="19"/>
        <v>0</v>
      </c>
      <c r="AI37" s="89">
        <f t="shared" si="20"/>
        <v>0</v>
      </c>
      <c r="AJ37" s="89">
        <f t="shared" si="10"/>
        <v>0</v>
      </c>
      <c r="AK37" s="227">
        <f>EquipmentSpecs!L37</f>
        <v>1.1100000000000001</v>
      </c>
      <c r="AL37" s="226">
        <f t="shared" si="21"/>
        <v>0</v>
      </c>
      <c r="AM37" s="230">
        <f t="shared" si="22"/>
        <v>0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1</v>
      </c>
      <c r="T41" s="89">
        <f t="shared" si="14"/>
        <v>2.3361126018156182</v>
      </c>
      <c r="U41" s="89">
        <f t="shared" si="6"/>
        <v>36.514461781279415</v>
      </c>
      <c r="V41" s="89">
        <f t="shared" si="15"/>
        <v>1.8231926331159782</v>
      </c>
      <c r="W41" s="1144">
        <f t="shared" si="7"/>
        <v>0.21480187095859524</v>
      </c>
      <c r="X41" s="1144">
        <f t="shared" si="7"/>
        <v>0.21480187095859524</v>
      </c>
      <c r="Y41" s="1144">
        <f t="shared" si="7"/>
        <v>0.19761772128190763</v>
      </c>
      <c r="Z41" s="1136">
        <f t="shared" si="8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16"/>
        <v>3.9928376683300543E-2</v>
      </c>
      <c r="AD41" s="84">
        <f t="shared" si="17"/>
        <v>3.0000000000000001E-3</v>
      </c>
      <c r="AE41" s="229">
        <v>2</v>
      </c>
      <c r="AF41" s="89">
        <f t="shared" si="9"/>
        <v>0.20099103936697565</v>
      </c>
      <c r="AG41" s="229">
        <f t="shared" si="18"/>
        <v>7.6999999999999993</v>
      </c>
      <c r="AH41" s="89">
        <f t="shared" si="19"/>
        <v>0.94578731745646449</v>
      </c>
      <c r="AI41" s="89">
        <f t="shared" si="20"/>
        <v>9.457873174564646E-2</v>
      </c>
      <c r="AJ41" s="89">
        <f t="shared" si="10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22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0</v>
      </c>
      <c r="T43" s="89">
        <f t="shared" si="14"/>
        <v>0</v>
      </c>
      <c r="U43" s="89">
        <f t="shared" ref="U43:U51" si="24">(((P43-(AQ43*P43))*AS43)+(AR43*(AQ43*P43)))/AO43</f>
        <v>36.514461781279415</v>
      </c>
      <c r="V43" s="89">
        <f t="shared" si="15"/>
        <v>0</v>
      </c>
      <c r="W43" s="1144">
        <f t="shared" si="7"/>
        <v>0</v>
      </c>
      <c r="X43" s="1144">
        <f t="shared" si="7"/>
        <v>0</v>
      </c>
      <c r="Y43" s="1144">
        <f t="shared" si="7"/>
        <v>0</v>
      </c>
      <c r="Z43" s="1136">
        <f t="shared" si="8"/>
        <v>0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0</v>
      </c>
      <c r="AD43" s="84">
        <f t="shared" si="17"/>
        <v>3.0000000000000001E-3</v>
      </c>
      <c r="AE43" s="229">
        <v>2</v>
      </c>
      <c r="AF43" s="89">
        <f t="shared" si="9"/>
        <v>0</v>
      </c>
      <c r="AG43" s="229">
        <f t="shared" si="18"/>
        <v>7.6999999999999993</v>
      </c>
      <c r="AH43" s="89">
        <f t="shared" si="19"/>
        <v>0</v>
      </c>
      <c r="AI43" s="89">
        <f t="shared" si="20"/>
        <v>0</v>
      </c>
      <c r="AJ43" s="89">
        <f t="shared" si="10"/>
        <v>0</v>
      </c>
      <c r="AK43" s="227">
        <f>EquipmentSpecs!L43</f>
        <v>1.04</v>
      </c>
      <c r="AL43" s="226">
        <f t="shared" si="21"/>
        <v>0</v>
      </c>
      <c r="AM43" s="230">
        <f t="shared" si="22"/>
        <v>0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0</v>
      </c>
      <c r="T46" s="89">
        <f t="shared" si="14"/>
        <v>0</v>
      </c>
      <c r="U46" s="89">
        <f t="shared" si="24"/>
        <v>36.514461781279415</v>
      </c>
      <c r="V46" s="89">
        <f t="shared" si="15"/>
        <v>0</v>
      </c>
      <c r="W46" s="1144">
        <f t="shared" si="7"/>
        <v>0</v>
      </c>
      <c r="X46" s="1144">
        <f t="shared" si="7"/>
        <v>0</v>
      </c>
      <c r="Y46" s="1144">
        <f t="shared" si="7"/>
        <v>0</v>
      </c>
      <c r="Z46" s="1136">
        <f t="shared" si="8"/>
        <v>0</v>
      </c>
      <c r="AA46" s="227">
        <f>EquipmentSpecs!J46</f>
        <v>0.18</v>
      </c>
      <c r="AB46" s="228">
        <f>EquipmentSpecs!K46</f>
        <v>1.7</v>
      </c>
      <c r="AC46" s="89">
        <f t="shared" si="16"/>
        <v>0</v>
      </c>
      <c r="AD46" s="84">
        <f t="shared" si="17"/>
        <v>3.0000000000000001E-3</v>
      </c>
      <c r="AE46" s="229">
        <v>2</v>
      </c>
      <c r="AF46" s="89">
        <f t="shared" si="9"/>
        <v>0</v>
      </c>
      <c r="AG46" s="229">
        <f t="shared" si="18"/>
        <v>7.6999999999999993</v>
      </c>
      <c r="AH46" s="89">
        <f t="shared" si="19"/>
        <v>0</v>
      </c>
      <c r="AI46" s="89">
        <f t="shared" si="20"/>
        <v>0</v>
      </c>
      <c r="AJ46" s="89">
        <f t="shared" si="10"/>
        <v>0</v>
      </c>
      <c r="AK46" s="227">
        <f>EquipmentSpecs!L46</f>
        <v>3.12</v>
      </c>
      <c r="AL46" s="226">
        <f>O46*S46*AK46</f>
        <v>0</v>
      </c>
      <c r="AM46" s="230">
        <f t="shared" si="22"/>
        <v>0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0</v>
      </c>
      <c r="T47" s="89">
        <f t="shared" si="14"/>
        <v>0</v>
      </c>
      <c r="U47" s="89">
        <f t="shared" si="24"/>
        <v>36.514461781279415</v>
      </c>
      <c r="V47" s="89">
        <f t="shared" si="15"/>
        <v>0</v>
      </c>
      <c r="W47" s="1144">
        <f t="shared" si="7"/>
        <v>0</v>
      </c>
      <c r="X47" s="1144">
        <f t="shared" si="7"/>
        <v>0</v>
      </c>
      <c r="Y47" s="1144">
        <f t="shared" si="7"/>
        <v>0</v>
      </c>
      <c r="Z47" s="1136">
        <f t="shared" si="8"/>
        <v>0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0</v>
      </c>
      <c r="AD47" s="84">
        <f t="shared" si="17"/>
        <v>3.0000000000000001E-3</v>
      </c>
      <c r="AE47" s="229">
        <v>2</v>
      </c>
      <c r="AF47" s="89">
        <f t="shared" si="9"/>
        <v>0</v>
      </c>
      <c r="AG47" s="229">
        <f t="shared" si="18"/>
        <v>7.6999999999999993</v>
      </c>
      <c r="AH47" s="89">
        <f t="shared" si="19"/>
        <v>0</v>
      </c>
      <c r="AI47" s="89">
        <f t="shared" si="20"/>
        <v>0</v>
      </c>
      <c r="AJ47" s="89">
        <f t="shared" si="10"/>
        <v>0</v>
      </c>
      <c r="AK47" s="227">
        <f>EquipmentSpecs!L47</f>
        <v>1.04</v>
      </c>
      <c r="AL47" s="226">
        <f t="shared" si="21"/>
        <v>0</v>
      </c>
      <c r="AM47" s="230">
        <f t="shared" si="22"/>
        <v>0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0</v>
      </c>
      <c r="T48" s="89">
        <f>J48*O48*S48</f>
        <v>0</v>
      </c>
      <c r="U48" s="89">
        <f>(((P48-(AQ48*P48))*AS48)+(AR48*(AQ48*P48)))/AO48</f>
        <v>61.186395417279016</v>
      </c>
      <c r="V48" s="89">
        <f>U48*O48*S48</f>
        <v>0</v>
      </c>
      <c r="W48" s="1144">
        <f t="shared" si="7"/>
        <v>0</v>
      </c>
      <c r="X48" s="1144">
        <f t="shared" si="7"/>
        <v>0</v>
      </c>
      <c r="Y48" s="1144">
        <f t="shared" si="7"/>
        <v>0</v>
      </c>
      <c r="Z48" s="1136">
        <f t="shared" si="8"/>
        <v>0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0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0</v>
      </c>
      <c r="AG48" s="229">
        <f>0.044*R48</f>
        <v>8.58</v>
      </c>
      <c r="AH48" s="89">
        <f>AG48*O48*$AI$11*S48</f>
        <v>0</v>
      </c>
      <c r="AI48" s="89">
        <f>AH48*0.1</f>
        <v>0</v>
      </c>
      <c r="AJ48" s="89">
        <f>AH48</f>
        <v>0</v>
      </c>
      <c r="AK48" s="227">
        <f>EquipmentSpecs!L48</f>
        <v>1.04</v>
      </c>
      <c r="AL48" s="226">
        <f>O48*S48*AK48</f>
        <v>0</v>
      </c>
      <c r="AM48" s="230">
        <f>AL48*$AL$11</f>
        <v>0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0</v>
      </c>
      <c r="T49" s="89">
        <f>J49*O49*S49</f>
        <v>0</v>
      </c>
      <c r="U49" s="89">
        <f>(((P49-(AQ49*P49))*AS49)+(AR49*(AQ49*P49)))/AO49</f>
        <v>61.186395417279016</v>
      </c>
      <c r="V49" s="89">
        <f>U49*O49*S49</f>
        <v>0</v>
      </c>
      <c r="W49" s="1144">
        <f t="shared" si="7"/>
        <v>0</v>
      </c>
      <c r="X49" s="1144">
        <f t="shared" si="7"/>
        <v>0</v>
      </c>
      <c r="Y49" s="1144">
        <f t="shared" si="7"/>
        <v>0</v>
      </c>
      <c r="Z49" s="1136">
        <f t="shared" si="8"/>
        <v>0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0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0</v>
      </c>
      <c r="AG49" s="229">
        <f>0.044*R49</f>
        <v>8.58</v>
      </c>
      <c r="AH49" s="89">
        <f>AG49*O49*$AI$11*S49</f>
        <v>0</v>
      </c>
      <c r="AI49" s="89">
        <f>AH49*0.1</f>
        <v>0</v>
      </c>
      <c r="AJ49" s="89">
        <f>AH49</f>
        <v>0</v>
      </c>
      <c r="AK49" s="227">
        <f>EquipmentSpecs!L49</f>
        <v>1.04</v>
      </c>
      <c r="AL49" s="226">
        <f>O49*S49*AK49</f>
        <v>0</v>
      </c>
      <c r="AM49" s="230">
        <f>AL49*$AL$11</f>
        <v>0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1</v>
      </c>
      <c r="T51" s="89">
        <f t="shared" si="14"/>
        <v>2.3110583646775966</v>
      </c>
      <c r="U51" s="89">
        <f t="shared" si="24"/>
        <v>61.186395417279016</v>
      </c>
      <c r="V51" s="89">
        <f t="shared" si="15"/>
        <v>4.5070335910049275</v>
      </c>
      <c r="W51" s="1144">
        <f t="shared" si="7"/>
        <v>0.33616333007812499</v>
      </c>
      <c r="X51" s="1144">
        <f t="shared" si="7"/>
        <v>0.33616333007812499</v>
      </c>
      <c r="Y51" s="1144">
        <f t="shared" si="7"/>
        <v>0.30927026367187505</v>
      </c>
      <c r="Z51" s="1136">
        <f t="shared" si="8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16"/>
        <v>1.3731771428571431</v>
      </c>
      <c r="AD51" s="84">
        <f t="shared" si="17"/>
        <v>3.0000000000000001E-3</v>
      </c>
      <c r="AE51" s="229">
        <v>2</v>
      </c>
      <c r="AF51" s="89">
        <f t="shared" si="9"/>
        <v>0.41853133928571423</v>
      </c>
      <c r="AG51" s="229">
        <f t="shared" si="18"/>
        <v>8.58</v>
      </c>
      <c r="AH51" s="89">
        <f t="shared" si="19"/>
        <v>1.5547419642857141</v>
      </c>
      <c r="AI51" s="89">
        <f t="shared" si="20"/>
        <v>0.15547419642857141</v>
      </c>
      <c r="AJ51" s="89">
        <f t="shared" si="10"/>
        <v>1.5547419642857141</v>
      </c>
      <c r="AK51" s="227">
        <f>EquipmentSpecs!L51</f>
        <v>1.1000000000000001</v>
      </c>
      <c r="AL51" s="226">
        <f t="shared" si="21"/>
        <v>8.1026785714285718E-2</v>
      </c>
      <c r="AM51" s="230">
        <f t="shared" si="22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0</v>
      </c>
      <c r="T52" s="89">
        <f>J52*O52*S52</f>
        <v>0</v>
      </c>
      <c r="U52" s="89">
        <f>(((P52-(AQ52*P52))*AS52)+(AR52*(AQ52*P52)))/AO52</f>
        <v>75.989555598878766</v>
      </c>
      <c r="V52" s="89">
        <f>U52*O52*S52</f>
        <v>0</v>
      </c>
      <c r="W52" s="1144">
        <f t="shared" si="7"/>
        <v>0</v>
      </c>
      <c r="X52" s="1144">
        <f t="shared" si="7"/>
        <v>0</v>
      </c>
      <c r="Y52" s="1144">
        <f t="shared" si="7"/>
        <v>0</v>
      </c>
      <c r="Z52" s="1136">
        <f t="shared" si="8"/>
        <v>0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</v>
      </c>
      <c r="AG52" s="229">
        <f>0.044*R52</f>
        <v>10.119999999999999</v>
      </c>
      <c r="AH52" s="89">
        <f>AG52*O52*$AI$11*S52</f>
        <v>0</v>
      </c>
      <c r="AI52" s="89">
        <f>AH52*0.1</f>
        <v>0</v>
      </c>
      <c r="AJ52" s="89">
        <f>AH52</f>
        <v>0</v>
      </c>
      <c r="AK52" s="227">
        <f>EquipmentSpecs!L52</f>
        <v>1.04</v>
      </c>
      <c r="AL52" s="226">
        <f>O52*S52*AK52</f>
        <v>0</v>
      </c>
      <c r="AM52" s="230">
        <f>AL52*$AL$11</f>
        <v>0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17.388190943893996</v>
      </c>
      <c r="U56" s="17"/>
      <c r="V56" s="257">
        <f>SUM(V14:V54)</f>
        <v>24.809739381026866</v>
      </c>
      <c r="W56" s="1147"/>
      <c r="X56" s="1147">
        <f>Z56-(T56+V56)</f>
        <v>6.2383970658678081</v>
      </c>
      <c r="Y56" s="1148">
        <f>(Z56-(T56+V56))/(T56+V56)</f>
        <v>0.14783656491758301</v>
      </c>
      <c r="Z56" s="257">
        <f>SUM(Z14:Z54)</f>
        <v>48.436327390788669</v>
      </c>
      <c r="AA56" s="17"/>
      <c r="AB56" s="17"/>
      <c r="AC56" s="257">
        <f>SUM(AC14:AC54)</f>
        <v>5.4302759585947431</v>
      </c>
      <c r="AD56" s="258"/>
      <c r="AE56" s="17"/>
      <c r="AF56" s="257">
        <f>SUM(AF14:AF54)</f>
        <v>2.3097461364351553</v>
      </c>
      <c r="AG56" s="17"/>
      <c r="AH56" s="257">
        <f>SUM(AH14:AH54)</f>
        <v>8.6170297793096253</v>
      </c>
      <c r="AI56" s="257">
        <f>SUM(AI14:AI54)</f>
        <v>0.86170297793096262</v>
      </c>
      <c r="AJ56" s="257"/>
      <c r="AK56" s="17"/>
      <c r="AL56" s="259">
        <f>SUM(AL14:AL54)</f>
        <v>0.50867891862318981</v>
      </c>
      <c r="AM56" s="260">
        <f>SUM(AM14:AM54)</f>
        <v>7.5437083631819055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1</v>
      </c>
      <c r="T67" s="89">
        <f>J67*O67*S67</f>
        <v>102.90867477035719</v>
      </c>
      <c r="U67" s="269"/>
      <c r="V67" s="269"/>
      <c r="W67" s="1144">
        <f t="shared" si="34"/>
        <v>4.6555099991632503</v>
      </c>
      <c r="X67" s="1144">
        <f t="shared" si="34"/>
        <v>4.6555099991632503</v>
      </c>
      <c r="Y67" s="1144">
        <f t="shared" si="34"/>
        <v>4.2830691992301899</v>
      </c>
      <c r="Z67" s="1136">
        <f t="shared" si="35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6"/>
        <v>24.639999999999997</v>
      </c>
      <c r="AH67" s="89">
        <f t="shared" si="37"/>
        <v>8.3686519956489001</v>
      </c>
      <c r="AI67" s="89">
        <f t="shared" si="38"/>
        <v>0.83686519956489003</v>
      </c>
      <c r="AJ67" s="89">
        <f>AH67</f>
        <v>8.3686519956489001</v>
      </c>
      <c r="AK67" s="227">
        <f>EquipmentSpecs!L67</f>
        <v>1.1100000000000001</v>
      </c>
      <c r="AL67" s="226">
        <f>O67*S67*AK67</f>
        <v>0.15325077399380807</v>
      </c>
      <c r="AM67" s="230">
        <f>AL67*$AL$11</f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4"/>
        <v>9.3561495899924713E-2</v>
      </c>
      <c r="X68" s="1146">
        <f t="shared" si="34"/>
        <v>9.3561495899924713E-2</v>
      </c>
      <c r="Y68" s="1146">
        <f t="shared" si="34"/>
        <v>8.6076576227930718E-2</v>
      </c>
      <c r="Z68" s="1139">
        <f t="shared" si="35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6"/>
        <v>8.58</v>
      </c>
      <c r="AH68" s="235">
        <f t="shared" si="37"/>
        <v>0.14570420885281568</v>
      </c>
      <c r="AI68" s="235">
        <f t="shared" si="38"/>
        <v>1.4570420885281569E-2</v>
      </c>
      <c r="AJ68" s="235">
        <f>AH68</f>
        <v>0.14570420885281568</v>
      </c>
      <c r="AK68" s="237">
        <f>EquipmentSpecs!L68</f>
        <v>1.1100000000000001</v>
      </c>
      <c r="AL68" s="236">
        <f>O68*S68*AK68</f>
        <v>7.6625386996904037E-3</v>
      </c>
      <c r="AM68" s="241">
        <f>AL68*$AL$11</f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1</v>
      </c>
      <c r="L69" s="336">
        <f>Machine!E69</f>
        <v>1</v>
      </c>
      <c r="M69" s="224">
        <f>EquipmentSpecs!C69</f>
        <v>0.7</v>
      </c>
      <c r="N69" s="89">
        <f t="shared" si="31"/>
        <v>8.484848484848484E-2</v>
      </c>
      <c r="O69" s="226">
        <f t="shared" si="32"/>
        <v>11.785714285714286</v>
      </c>
      <c r="P69" s="270"/>
      <c r="Q69" s="20"/>
      <c r="R69" s="339">
        <f>Machine!H69</f>
        <v>325</v>
      </c>
      <c r="S69" s="1197">
        <f>Machine!B69</f>
        <v>0</v>
      </c>
      <c r="T69" s="89">
        <f t="shared" si="33"/>
        <v>0</v>
      </c>
      <c r="U69" s="269"/>
      <c r="V69" s="269"/>
      <c r="W69" s="1144">
        <f t="shared" si="34"/>
        <v>0</v>
      </c>
      <c r="X69" s="1144">
        <f t="shared" si="34"/>
        <v>0</v>
      </c>
      <c r="Y69" s="1144">
        <f t="shared" si="34"/>
        <v>0</v>
      </c>
      <c r="Z69" s="1136">
        <f t="shared" si="35"/>
        <v>0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0</v>
      </c>
      <c r="AD69" s="271"/>
      <c r="AE69" s="272"/>
      <c r="AF69" s="269"/>
      <c r="AG69" s="229">
        <f t="shared" si="36"/>
        <v>14.299999999999999</v>
      </c>
      <c r="AH69" s="89">
        <f t="shared" si="37"/>
        <v>0</v>
      </c>
      <c r="AI69" s="89">
        <f t="shared" si="38"/>
        <v>0</v>
      </c>
      <c r="AJ69" s="89">
        <f t="shared" si="39"/>
        <v>0</v>
      </c>
      <c r="AK69" s="227">
        <f>EquipmentSpecs!L69</f>
        <v>1.1100000000000001</v>
      </c>
      <c r="AL69" s="226">
        <f t="shared" si="40"/>
        <v>0</v>
      </c>
      <c r="AM69" s="230">
        <f t="shared" si="41"/>
        <v>0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0</v>
      </c>
      <c r="T71" s="89">
        <f t="shared" si="33"/>
        <v>0</v>
      </c>
      <c r="U71" s="269"/>
      <c r="V71" s="269"/>
      <c r="W71" s="1144">
        <f t="shared" si="34"/>
        <v>0</v>
      </c>
      <c r="X71" s="1144">
        <f t="shared" si="34"/>
        <v>0</v>
      </c>
      <c r="Y71" s="1144">
        <f t="shared" si="34"/>
        <v>0</v>
      </c>
      <c r="Z71" s="1136">
        <f t="shared" si="35"/>
        <v>0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0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0</v>
      </c>
      <c r="T72" s="89">
        <f t="shared" si="33"/>
        <v>0</v>
      </c>
      <c r="U72" s="269"/>
      <c r="V72" s="269"/>
      <c r="W72" s="1144">
        <f t="shared" si="34"/>
        <v>0</v>
      </c>
      <c r="X72" s="1144">
        <f t="shared" si="34"/>
        <v>0</v>
      </c>
      <c r="Y72" s="1144">
        <f t="shared" si="34"/>
        <v>0</v>
      </c>
      <c r="Z72" s="1136">
        <f t="shared" si="35"/>
        <v>0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0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0</v>
      </c>
      <c r="T73" s="89">
        <f t="shared" si="33"/>
        <v>0</v>
      </c>
      <c r="U73" s="269"/>
      <c r="V73" s="269"/>
      <c r="W73" s="1144">
        <f t="shared" si="34"/>
        <v>0</v>
      </c>
      <c r="X73" s="1144">
        <f t="shared" si="34"/>
        <v>0</v>
      </c>
      <c r="Y73" s="1144">
        <f t="shared" si="34"/>
        <v>0</v>
      </c>
      <c r="Z73" s="1136">
        <f t="shared" si="35"/>
        <v>0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0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1</v>
      </c>
      <c r="L74" s="337">
        <f>Machine!E74</f>
        <v>1</v>
      </c>
      <c r="M74" s="233">
        <f>EquipmentSpecs!C74</f>
        <v>0.7</v>
      </c>
      <c r="N74" s="235">
        <f t="shared" si="31"/>
        <v>8.484848484848484E-2</v>
      </c>
      <c r="O74" s="236">
        <f t="shared" si="32"/>
        <v>11.785714285714286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0</v>
      </c>
      <c r="T74" s="235">
        <f t="shared" si="33"/>
        <v>0</v>
      </c>
      <c r="U74" s="235">
        <f>(((P74-(AQ74*P74))*AS74)+(AR74*(AQ74*P74)))/AO74</f>
        <v>61.186395417279016</v>
      </c>
      <c r="V74" s="235">
        <f>U74*O74*S74</f>
        <v>0</v>
      </c>
      <c r="W74" s="1146">
        <f t="shared" si="34"/>
        <v>0</v>
      </c>
      <c r="X74" s="1146">
        <f t="shared" si="34"/>
        <v>0</v>
      </c>
      <c r="Y74" s="1146">
        <f t="shared" si="34"/>
        <v>0</v>
      </c>
      <c r="Z74" s="1139">
        <f t="shared" si="35"/>
        <v>0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0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</v>
      </c>
      <c r="AG74" s="240">
        <f>0.044*R74</f>
        <v>8.58</v>
      </c>
      <c r="AH74" s="235">
        <f t="shared" ref="AH74:AH81" si="42">AG74*O74*$AJ$11*S74</f>
        <v>0</v>
      </c>
      <c r="AI74" s="235">
        <f>AH74*0.1</f>
        <v>0</v>
      </c>
      <c r="AJ74" s="235">
        <f>AH74</f>
        <v>0</v>
      </c>
      <c r="AK74" s="459">
        <f>EquipmentSpecs!L74</f>
        <v>1.1100000000000001</v>
      </c>
      <c r="AL74" s="236">
        <f t="shared" si="40"/>
        <v>0</v>
      </c>
      <c r="AM74" s="241">
        <f t="shared" si="41"/>
        <v>0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0</v>
      </c>
      <c r="T76" s="89">
        <f t="shared" si="47"/>
        <v>0</v>
      </c>
      <c r="U76" s="89">
        <f>(((P76-(AQ76*P76))*AS76)+(AR76*(AQ76*P76)))/AO76</f>
        <v>75.989555598878766</v>
      </c>
      <c r="V76" s="89">
        <f>U76*O76*S76</f>
        <v>0</v>
      </c>
      <c r="W76" s="1144">
        <f t="shared" si="34"/>
        <v>0</v>
      </c>
      <c r="X76" s="1144">
        <f t="shared" si="34"/>
        <v>0</v>
      </c>
      <c r="Y76" s="1144">
        <f t="shared" si="34"/>
        <v>0</v>
      </c>
      <c r="Z76" s="1136">
        <f t="shared" si="35"/>
        <v>0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0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0</v>
      </c>
      <c r="AG76" s="229">
        <f t="shared" si="48"/>
        <v>10.119999999999999</v>
      </c>
      <c r="AH76" s="89">
        <f t="shared" si="42"/>
        <v>0</v>
      </c>
      <c r="AI76" s="89">
        <f t="shared" si="49"/>
        <v>0</v>
      </c>
      <c r="AJ76" s="89">
        <f t="shared" si="50"/>
        <v>0</v>
      </c>
      <c r="AK76" s="436">
        <f>EquipmentSpecs!L76</f>
        <v>1.1100000000000001</v>
      </c>
      <c r="AL76" s="226">
        <f t="shared" si="51"/>
        <v>0</v>
      </c>
      <c r="AM76" s="230">
        <f t="shared" si="52"/>
        <v>0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0</v>
      </c>
      <c r="T77" s="89">
        <f t="shared" si="47"/>
        <v>0</v>
      </c>
      <c r="U77" s="89">
        <f>(((P77-(AQ77*P77))*AS77)+(AR77*(AQ77*P77)))/AO77</f>
        <v>61.186395417279016</v>
      </c>
      <c r="V77" s="89">
        <f>U77*O77*S77</f>
        <v>0</v>
      </c>
      <c r="W77" s="1144">
        <f t="shared" si="34"/>
        <v>0</v>
      </c>
      <c r="X77" s="1144">
        <f t="shared" si="34"/>
        <v>0</v>
      </c>
      <c r="Y77" s="1144">
        <f t="shared" si="34"/>
        <v>0</v>
      </c>
      <c r="Z77" s="1136">
        <f t="shared" si="35"/>
        <v>0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0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0</v>
      </c>
      <c r="AG77" s="229">
        <f t="shared" si="48"/>
        <v>8.58</v>
      </c>
      <c r="AH77" s="89">
        <f t="shared" si="42"/>
        <v>0</v>
      </c>
      <c r="AI77" s="89">
        <f t="shared" si="49"/>
        <v>0</v>
      </c>
      <c r="AJ77" s="89">
        <f t="shared" si="50"/>
        <v>0</v>
      </c>
      <c r="AK77" s="436">
        <f>EquipmentSpecs!L77</f>
        <v>1.1100000000000001</v>
      </c>
      <c r="AL77" s="226">
        <f t="shared" si="51"/>
        <v>0</v>
      </c>
      <c r="AM77" s="230">
        <f t="shared" si="52"/>
        <v>0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104.2793466674005</v>
      </c>
      <c r="U83" s="17"/>
      <c r="V83" s="257">
        <f>SUM(V64:V81)</f>
        <v>0.4223811916932072</v>
      </c>
      <c r="W83" s="1147"/>
      <c r="X83" s="1147">
        <f>Z83-(T83+V83)</f>
        <v>13.867288765584476</v>
      </c>
      <c r="Y83" s="1148">
        <f>(Z83-(T83+V83))/(T83+V83)</f>
        <v>0.132445653468555</v>
      </c>
      <c r="Z83" s="257">
        <f>SUM(Z64:Z81)</f>
        <v>118.56901662467818</v>
      </c>
      <c r="AA83" s="17"/>
      <c r="AB83" s="17"/>
      <c r="AC83" s="257">
        <f>SUM(AC64:AC81)</f>
        <v>22.079699467714562</v>
      </c>
      <c r="AD83" s="258"/>
      <c r="AE83" s="17"/>
      <c r="AF83" s="257">
        <f>SUM(AF64:AF81)</f>
        <v>3.9223085934231447E-2</v>
      </c>
      <c r="AG83" s="17"/>
      <c r="AH83" s="257">
        <f>SUM(AH64:AH81)</f>
        <v>8.5143562045017163</v>
      </c>
      <c r="AI83" s="257">
        <f>SUM(AI64:AI81)</f>
        <v>0.85143562045017163</v>
      </c>
      <c r="AJ83" s="257"/>
      <c r="AK83" s="17"/>
      <c r="AL83" s="259">
        <f>SUM(AL64:AL81)</f>
        <v>0.16091331269349848</v>
      </c>
      <c r="AM83" s="257">
        <f>SUM(AM64:AM81)</f>
        <v>2.3863444272445826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0.72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Round Module Cover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1200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Pound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Pound</v>
      </c>
    </row>
    <row r="4" spans="1:8" ht="13.9" x14ac:dyDescent="0.4">
      <c r="A4" s="91" t="s">
        <v>300</v>
      </c>
      <c r="B4" s="121">
        <f>SummaryReport_Verification!B27</f>
        <v>790.1882461407456</v>
      </c>
      <c r="C4" s="121">
        <f>SummaryReport_Verification!B32</f>
        <v>0.65849020511728795</v>
      </c>
      <c r="D4" s="121">
        <f>SummaryReport_Verification!B28</f>
        <v>37.811753859254281</v>
      </c>
      <c r="E4" s="121">
        <f>SummaryReport_Verification!B29</f>
        <v>213.51159530605307</v>
      </c>
      <c r="F4" s="121">
        <f>SummaryReport_Verification!B30</f>
        <v>1003.6998414467987</v>
      </c>
      <c r="G4" s="121">
        <f>SummaryReport_Verification!B31</f>
        <v>-175.69984144679881</v>
      </c>
      <c r="H4" s="121">
        <f>SummaryReport_Verification!B33</f>
        <v>0.83641653453899889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790.1882461407456</v>
      </c>
      <c r="C9" s="122">
        <f t="shared" si="0"/>
        <v>0.65849020511728795</v>
      </c>
      <c r="D9" s="122">
        <f t="shared" si="0"/>
        <v>37.811753859254281</v>
      </c>
      <c r="E9" s="122">
        <f t="shared" si="0"/>
        <v>213.51159530605307</v>
      </c>
      <c r="F9" s="122">
        <f t="shared" si="0"/>
        <v>1003.6998414467987</v>
      </c>
      <c r="G9" s="122">
        <f t="shared" si="0"/>
        <v>-175.69984144679881</v>
      </c>
      <c r="H9" s="122">
        <f t="shared" si="0"/>
        <v>0.83641653453899889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(lb.)</v>
      </c>
      <c r="B4" s="163">
        <f>Budget!D3</f>
        <v>1200</v>
      </c>
      <c r="C4" s="113"/>
      <c r="D4" s="113"/>
      <c r="E4" s="113"/>
      <c r="F4" s="113"/>
      <c r="G4" s="163">
        <f>AVERAGE(B4:F4)</f>
        <v>1200</v>
      </c>
    </row>
    <row r="5" spans="1:8" ht="13.9" x14ac:dyDescent="0.4">
      <c r="A5" s="96" t="str">
        <f>IF(A2_Budget_Look_Up!B7=1,"Price ($/lb.)",'C1_Messages_Indicators'!E26)</f>
        <v>Price ($/lb.)</v>
      </c>
      <c r="B5" s="96">
        <f>Budget!E3</f>
        <v>0.69</v>
      </c>
      <c r="C5" s="96"/>
      <c r="D5" s="96"/>
      <c r="E5" s="96"/>
      <c r="F5" s="96"/>
      <c r="G5" s="96">
        <f>AVERAGE(B5:F5)</f>
        <v>0.69</v>
      </c>
    </row>
    <row r="6" spans="1:8" ht="13.5" x14ac:dyDescent="0.35">
      <c r="A6" s="107" t="s">
        <v>231</v>
      </c>
      <c r="B6" s="114">
        <f>Budget!F3</f>
        <v>827.99999999999989</v>
      </c>
      <c r="C6" s="114"/>
      <c r="D6" s="114"/>
      <c r="E6" s="114"/>
      <c r="F6" s="114"/>
      <c r="G6" s="114">
        <f>AVERAGE(B6:F6)</f>
        <v>827.99999999999989</v>
      </c>
    </row>
    <row r="7" spans="1:8" ht="13.5" x14ac:dyDescent="0.35">
      <c r="A7" s="107" t="str">
        <f>IF(A2_Budget_Look_Up!B7=1,"Cottonseed Value"," ")</f>
        <v>Cottonseed Value</v>
      </c>
      <c r="B7" s="114">
        <f>IF(A2_Budget_Look_Up!B7=1,Budget!F4," ")</f>
        <v>179.82</v>
      </c>
      <c r="C7" s="114"/>
      <c r="D7" s="114"/>
      <c r="E7" s="114"/>
      <c r="F7" s="114"/>
      <c r="G7" s="114">
        <f>IF(A2_Budget_Look_Up!B7=1,AVERAGE(SummaryReport_Verification!B7:F7)," ")</f>
        <v>179.82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113.05</v>
      </c>
      <c r="C9" s="96"/>
      <c r="D9" s="96"/>
      <c r="E9" s="96"/>
      <c r="F9" s="96"/>
      <c r="G9" s="96">
        <f t="shared" ref="G9:G28" si="0">AVERAGE(B9:F9)</f>
        <v>113.05</v>
      </c>
      <c r="H9" s="1898">
        <f>G9/G$23</f>
        <v>0.14896869584546227</v>
      </c>
    </row>
    <row r="10" spans="1:8" ht="13.9" x14ac:dyDescent="0.4">
      <c r="A10" s="91" t="s">
        <v>224</v>
      </c>
      <c r="B10" s="96">
        <f>SUM(Budget!F7:F13)</f>
        <v>165.09916666666666</v>
      </c>
      <c r="C10" s="96"/>
      <c r="D10" s="96"/>
      <c r="E10" s="96"/>
      <c r="F10" s="96"/>
      <c r="G10" s="96">
        <f t="shared" si="0"/>
        <v>165.09916666666666</v>
      </c>
      <c r="H10" s="1898">
        <f>G10/G$23</f>
        <v>0.21755513085808004</v>
      </c>
    </row>
    <row r="11" spans="1:8" ht="13.9" x14ac:dyDescent="0.4">
      <c r="A11" s="91" t="str">
        <f>Budget!A14</f>
        <v>Herbicide</v>
      </c>
      <c r="B11" s="96">
        <f>Budget!F14</f>
        <v>112.36137499999998</v>
      </c>
      <c r="C11" s="96"/>
      <c r="D11" s="96"/>
      <c r="E11" s="96"/>
      <c r="F11" s="96"/>
      <c r="G11" s="96">
        <f t="shared" si="0"/>
        <v>112.36137499999998</v>
      </c>
      <c r="H11" s="1898">
        <f>SUM(G11:G14)/$G$23</f>
        <v>0.22913861094957966</v>
      </c>
    </row>
    <row r="12" spans="1:8" ht="15" customHeight="1" x14ac:dyDescent="0.4">
      <c r="A12" s="91" t="str">
        <f>Budget!A15</f>
        <v>Insecticide</v>
      </c>
      <c r="B12" s="96">
        <f>Budget!F15</f>
        <v>38.165624999999999</v>
      </c>
      <c r="C12" s="96"/>
      <c r="D12" s="96"/>
      <c r="E12" s="96"/>
      <c r="F12" s="96"/>
      <c r="G12" s="96">
        <f t="shared" si="0"/>
        <v>38.165624999999999</v>
      </c>
    </row>
    <row r="13" spans="1:8" ht="13.9" x14ac:dyDescent="0.4">
      <c r="A13" s="91" t="str">
        <f>IF(A2_Budget_Look_Up!B13&gt;0,Budget!A17,Budget!A16)</f>
        <v>Nematicide</v>
      </c>
      <c r="B13" s="96">
        <f>IF(A2_Budget_Look_Up!B13&gt;0,Budget!F17,Budget!F16)</f>
        <v>0</v>
      </c>
      <c r="C13" s="96"/>
      <c r="D13" s="96"/>
      <c r="E13" s="96"/>
      <c r="F13" s="96"/>
      <c r="G13" s="96">
        <f t="shared" si="0"/>
        <v>0</v>
      </c>
    </row>
    <row r="14" spans="1:8" ht="13.9" x14ac:dyDescent="0.4">
      <c r="A14" s="91" t="s">
        <v>91</v>
      </c>
      <c r="B14" s="96">
        <f>IF(A2_Budget_Look_Up!B13&gt;0,Budget!F16+Budget!F18,Budget!F17+Budget!F18)</f>
        <v>23.3626875</v>
      </c>
      <c r="C14" s="96"/>
      <c r="D14" s="96"/>
      <c r="E14" s="96"/>
      <c r="F14" s="96"/>
      <c r="G14" s="96">
        <f t="shared" si="0"/>
        <v>23.3626875</v>
      </c>
    </row>
    <row r="15" spans="1:8" ht="13.9" x14ac:dyDescent="0.4">
      <c r="A15" s="91" t="s">
        <v>225</v>
      </c>
      <c r="B15" s="96">
        <f>SUM(Budget!F20:F23)</f>
        <v>124.5</v>
      </c>
      <c r="C15" s="96"/>
      <c r="D15" s="96"/>
      <c r="E15" s="96"/>
      <c r="F15" s="96"/>
      <c r="G15" s="96">
        <f t="shared" si="0"/>
        <v>124.5</v>
      </c>
    </row>
    <row r="16" spans="1:8" ht="13.9" x14ac:dyDescent="0.4">
      <c r="A16" s="91" t="s">
        <v>421</v>
      </c>
      <c r="B16" s="96">
        <f>Budget!F31+Budget!F32</f>
        <v>35.85</v>
      </c>
      <c r="C16" s="96"/>
      <c r="D16" s="96"/>
      <c r="E16" s="96"/>
      <c r="F16" s="96"/>
      <c r="G16" s="96">
        <f>AVERAGE(B16:F16)</f>
        <v>35.85</v>
      </c>
    </row>
    <row r="17" spans="1:7" ht="13.9" x14ac:dyDescent="0.4">
      <c r="A17" s="91" t="s">
        <v>462</v>
      </c>
      <c r="B17" s="96">
        <f>Budget!F25+Budget!F27</f>
        <v>17.131385983811342</v>
      </c>
      <c r="C17" s="96"/>
      <c r="D17" s="96"/>
      <c r="E17" s="96"/>
      <c r="F17" s="96"/>
      <c r="G17" s="96">
        <f t="shared" si="0"/>
        <v>17.131385983811342</v>
      </c>
    </row>
    <row r="18" spans="1:7" ht="13.9" x14ac:dyDescent="0.4">
      <c r="A18" s="91" t="s">
        <v>227</v>
      </c>
      <c r="B18" s="96">
        <f>Budget!F29</f>
        <v>34.86698941353383</v>
      </c>
      <c r="C18" s="96"/>
      <c r="D18" s="96"/>
      <c r="E18" s="96"/>
      <c r="F18" s="96"/>
      <c r="G18" s="96">
        <f>AVERAGE(B18:F18)</f>
        <v>34.86698941353383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664.38722956401182</v>
      </c>
      <c r="C19" s="108"/>
      <c r="D19" s="108"/>
      <c r="E19" s="108"/>
      <c r="F19" s="108"/>
      <c r="G19" s="108">
        <f>AVERAGE(B19:F19)</f>
        <v>664.38722956401182</v>
      </c>
    </row>
    <row r="20" spans="1:7" ht="13.9" x14ac:dyDescent="0.4">
      <c r="A20" s="91" t="s">
        <v>778</v>
      </c>
      <c r="B20" s="96">
        <f>SUM(Budget!F34:F36)</f>
        <v>41</v>
      </c>
      <c r="C20" s="108"/>
      <c r="D20" s="108"/>
      <c r="E20" s="108"/>
      <c r="F20" s="108"/>
      <c r="G20" s="96">
        <f t="shared" si="0"/>
        <v>41</v>
      </c>
    </row>
    <row r="21" spans="1:7" ht="15.4" x14ac:dyDescent="0.4">
      <c r="A21" s="91" t="s">
        <v>754</v>
      </c>
      <c r="B21" s="96">
        <f>Budget!F26+Budget!F28+Budget!F30</f>
        <v>34.378319648678698</v>
      </c>
      <c r="C21" s="96"/>
      <c r="D21" s="96"/>
      <c r="E21" s="96"/>
      <c r="F21" s="96"/>
      <c r="G21" s="96">
        <f t="shared" si="0"/>
        <v>34.378319648678698</v>
      </c>
    </row>
    <row r="22" spans="1:7" ht="13.9" x14ac:dyDescent="0.4">
      <c r="A22" s="91" t="s">
        <v>214</v>
      </c>
      <c r="B22" s="96">
        <f>Budget!F33</f>
        <v>19.11872079042649</v>
      </c>
      <c r="C22" s="96"/>
      <c r="D22" s="96"/>
      <c r="E22" s="96"/>
      <c r="F22" s="96"/>
      <c r="G22" s="96">
        <f t="shared" si="0"/>
        <v>19.11872079042649</v>
      </c>
    </row>
    <row r="23" spans="1:7" ht="13.9" x14ac:dyDescent="0.4">
      <c r="A23" s="107" t="s">
        <v>640</v>
      </c>
      <c r="B23" s="108">
        <f>SUM(Budget!F6:F18)+SUM(Budget!F20:F23)+SUM(Budget!F25:F36)</f>
        <v>758.88427000311697</v>
      </c>
      <c r="C23" s="96"/>
      <c r="D23" s="96"/>
      <c r="E23" s="96"/>
      <c r="F23" s="96"/>
      <c r="G23" s="108">
        <f t="shared" si="0"/>
        <v>758.88427000311697</v>
      </c>
    </row>
    <row r="24" spans="1:7" ht="13.9" x14ac:dyDescent="0.4">
      <c r="A24" s="91" t="s">
        <v>28</v>
      </c>
      <c r="B24" s="96">
        <f>Budget!F37</f>
        <v>31.30397613762857</v>
      </c>
      <c r="C24" s="96"/>
      <c r="D24" s="96"/>
      <c r="E24" s="96"/>
      <c r="F24" s="96"/>
      <c r="G24" s="96">
        <f t="shared" si="0"/>
        <v>31.30397613762857</v>
      </c>
    </row>
    <row r="25" spans="1:7" ht="15" customHeight="1" x14ac:dyDescent="0.4">
      <c r="A25" s="91" t="s">
        <v>228</v>
      </c>
      <c r="B25" s="96">
        <f>SUM(Budget!F39:F43)</f>
        <v>179.82</v>
      </c>
      <c r="C25" s="96"/>
      <c r="D25" s="96"/>
      <c r="E25" s="96"/>
      <c r="F25" s="96"/>
      <c r="G25" s="96">
        <f t="shared" si="0"/>
        <v>179.82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Operating Expenses</v>
      </c>
      <c r="B27" s="108">
        <f>SUM(B9:B18)+SUM(B20:B22)+SUM(B24:B26)-IF(A2_Budget_Look_Up!B7=1,B7,0)</f>
        <v>790.1882461407456</v>
      </c>
      <c r="C27" s="108"/>
      <c r="D27" s="108"/>
      <c r="E27" s="108"/>
      <c r="F27" s="108"/>
      <c r="G27" s="108">
        <f t="shared" si="0"/>
        <v>790.1882461407456</v>
      </c>
    </row>
    <row r="28" spans="1:7" ht="13.5" x14ac:dyDescent="0.35">
      <c r="A28" s="107" t="s">
        <v>233</v>
      </c>
      <c r="B28" s="114">
        <f>B6-B27</f>
        <v>37.811753859254281</v>
      </c>
      <c r="C28" s="114"/>
      <c r="D28" s="114"/>
      <c r="E28" s="114"/>
      <c r="F28" s="114"/>
      <c r="G28" s="114">
        <f t="shared" si="0"/>
        <v>37.811753859254281</v>
      </c>
    </row>
    <row r="29" spans="1:7" ht="13.9" x14ac:dyDescent="0.4">
      <c r="A29" s="91" t="s">
        <v>230</v>
      </c>
      <c r="B29" s="96">
        <f>Budget!F51</f>
        <v>213.51159530605307</v>
      </c>
      <c r="C29" s="96"/>
      <c r="D29" s="96"/>
      <c r="E29" s="96"/>
      <c r="F29" s="96"/>
      <c r="G29" s="96">
        <f>AVERAGE(B29:F29)</f>
        <v>213.51159530605307</v>
      </c>
    </row>
    <row r="30" spans="1:7" ht="15.4" x14ac:dyDescent="0.35">
      <c r="A30" s="107" t="s">
        <v>753</v>
      </c>
      <c r="B30" s="108">
        <f>B27+B29</f>
        <v>1003.6998414467987</v>
      </c>
      <c r="C30" s="108"/>
      <c r="D30" s="108"/>
      <c r="E30" s="108"/>
      <c r="F30" s="108"/>
      <c r="G30" s="108">
        <f>AVERAGE(B30:F30)</f>
        <v>1003.6998414467987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-175.69984144679881</v>
      </c>
      <c r="C31" s="114"/>
      <c r="D31" s="114"/>
      <c r="E31" s="114"/>
      <c r="F31" s="114"/>
      <c r="G31" s="114">
        <f>AVERAGE(B31:F31)</f>
        <v>-175.69984144679881</v>
      </c>
    </row>
    <row r="32" spans="1:7" ht="13.9" x14ac:dyDescent="0.4">
      <c r="A32" s="96" t="str">
        <f>IF(A2_Budget_Look_Up!B7=1,"Operating Expenses/lb.",'C1_Messages_Indicators'!F26)</f>
        <v>Operating Expenses/lb.</v>
      </c>
      <c r="B32" s="96">
        <f>B27/B4</f>
        <v>0.65849020511728795</v>
      </c>
      <c r="C32" s="96"/>
      <c r="D32" s="96"/>
      <c r="E32" s="96"/>
      <c r="F32" s="96"/>
      <c r="G32" s="96">
        <f>AVERAGE(B32:F32)</f>
        <v>0.65849020511728795</v>
      </c>
    </row>
    <row r="33" spans="1:7" ht="13.9" x14ac:dyDescent="0.4">
      <c r="A33" s="92" t="str">
        <f>IF(A2_Budget_Look_Up!B7=1,"Total Expenses/lb.",'C1_Messages_Indicators'!H26)</f>
        <v>Total Expenses/lb.</v>
      </c>
      <c r="B33" s="98">
        <f>B30/B4</f>
        <v>0.83641653453899889</v>
      </c>
      <c r="C33" s="98"/>
      <c r="D33" s="98"/>
      <c r="E33" s="98"/>
      <c r="F33" s="98"/>
      <c r="G33" s="98">
        <f>AVERAGE(B33:F33)</f>
        <v>0.83641653453899889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34. 2026 Cotton Enterprise Budget, ThryvOn, Furrow Irrigation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Lbs</v>
      </c>
      <c r="D3" s="307">
        <f>Budget!D3</f>
        <v>1200</v>
      </c>
      <c r="E3" s="307">
        <f>Budget!E3</f>
        <v>0.69</v>
      </c>
      <c r="F3" s="307">
        <f>Budget!F3</f>
        <v>827.99999999999989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>Cottonseed Value</v>
      </c>
      <c r="B4" s="403">
        <f>Budget!B4</f>
        <v>1</v>
      </c>
      <c r="C4" s="307" t="str">
        <f>Budget!C4</f>
        <v>Ton</v>
      </c>
      <c r="D4" s="407">
        <f>Budget!D4</f>
        <v>0.9</v>
      </c>
      <c r="E4" s="307">
        <f>Budget!E4</f>
        <v>199.79999999999998</v>
      </c>
      <c r="F4" s="307">
        <f>Budget!F4</f>
        <v>179.82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Fees; See Note 2</v>
      </c>
      <c r="B6" s="403">
        <f>Budget!B6</f>
        <v>1</v>
      </c>
      <c r="C6" s="307" t="str">
        <f>Budget!C6</f>
        <v>Thous</v>
      </c>
      <c r="D6" s="406">
        <f>Budget!D6</f>
        <v>47.5</v>
      </c>
      <c r="E6" s="307">
        <f>Budget!E6</f>
        <v>2.38</v>
      </c>
      <c r="F6" s="307">
        <f>Budget!F6</f>
        <v>113.05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275</v>
      </c>
      <c r="E7" s="307">
        <f>Budget!E7</f>
        <v>0.28083333333333332</v>
      </c>
      <c r="F7" s="307">
        <f>Budget!F7</f>
        <v>77.229166666666657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100</v>
      </c>
      <c r="E8" s="307">
        <f>Budget!E8</f>
        <v>0.40500000000000003</v>
      </c>
      <c r="F8" s="307">
        <f>Budget!F8</f>
        <v>40.5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100</v>
      </c>
      <c r="E9" s="307">
        <f>Budget!E9</f>
        <v>0.22</v>
      </c>
      <c r="F9" s="307">
        <f>Budget!F9</f>
        <v>22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50</v>
      </c>
      <c r="E10" s="307">
        <f>Budget!E10</f>
        <v>0.26750000000000002</v>
      </c>
      <c r="F10" s="307">
        <f>Budget!F10</f>
        <v>13.375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1</v>
      </c>
      <c r="E11" s="307">
        <f>Budget!E11</f>
        <v>0.72</v>
      </c>
      <c r="F11" s="307">
        <f>Budget!F11</f>
        <v>0.72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112.36137499999998</v>
      </c>
      <c r="F13" s="307">
        <f>Budget!F14</f>
        <v>112.36137499999998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38.165624999999999</v>
      </c>
      <c r="F14" s="307">
        <f>Budget!F15</f>
        <v>38.165624999999999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Nematicide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0</v>
      </c>
      <c r="F15" s="307">
        <f>Budget!F16</f>
        <v>0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Growth Regulator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3.7845624999999998</v>
      </c>
      <c r="F16" s="307">
        <f>Budget!F17</f>
        <v>3.7845624999999998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Defoliant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19.578125</v>
      </c>
      <c r="F17" s="307">
        <f>Budget!F18</f>
        <v>19.578125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11</v>
      </c>
      <c r="E19" s="307">
        <f>Budget!E20</f>
        <v>9.5</v>
      </c>
      <c r="F19" s="307">
        <f>Budget!F20</f>
        <v>104.5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2</v>
      </c>
      <c r="E20" s="307">
        <f>Budget!E21</f>
        <v>10</v>
      </c>
      <c r="F20" s="307">
        <f>Budget!F21</f>
        <v>20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0</v>
      </c>
      <c r="E21" s="407">
        <f>Budget!E22</f>
        <v>0.1</v>
      </c>
      <c r="F21" s="307">
        <f>Budget!F22</f>
        <v>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3.5028576338657014</v>
      </c>
      <c r="E24" s="307">
        <f>Budget!E25</f>
        <v>2.46</v>
      </c>
      <c r="F24" s="307">
        <f>Budget!F25</f>
        <v>8.6170297793096253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7.7400220950298984</v>
      </c>
      <c r="F25" s="307">
        <f>Budget!F26</f>
        <v>7.7400220950298984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3.4611204083340312</v>
      </c>
      <c r="E26" s="307">
        <f>Budget!E27</f>
        <v>2.46</v>
      </c>
      <c r="F26" s="307">
        <f>Budget!F27</f>
        <v>8.5143562045017163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22.118922553648794</v>
      </c>
      <c r="F27" s="307">
        <f>Budget!F28</f>
        <v>22.118922553648794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12</v>
      </c>
      <c r="E28" s="307">
        <f>Budget!E29</f>
        <v>2.9055824511278194</v>
      </c>
      <c r="F28" s="307">
        <f>Budget!F29</f>
        <v>34.86698941353383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12</v>
      </c>
      <c r="E29" s="307">
        <f>Budget!E30</f>
        <v>0.37661458333333336</v>
      </c>
      <c r="F29" s="307">
        <f>Budget!F30</f>
        <v>4.5193750000000001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16.25</v>
      </c>
      <c r="F30" s="307">
        <f>Budget!F31</f>
        <v>16.25</v>
      </c>
    </row>
    <row r="31" spans="1:6" ht="14.1" customHeight="1" x14ac:dyDescent="0.4">
      <c r="A31" s="4" t="str">
        <f>Budget!A32</f>
        <v>Round Module Cover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19.600000000000001</v>
      </c>
      <c r="F31" s="307">
        <f>Budget!F32</f>
        <v>19.600000000000001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1.2891922313166884</v>
      </c>
      <c r="E32" s="307">
        <f>Budget!E33</f>
        <v>14.83</v>
      </c>
      <c r="F32" s="307">
        <f>Budget!F33</f>
        <v>19.11872079042649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10</v>
      </c>
      <c r="F33" s="307">
        <f>Budget!F34</f>
        <v>10</v>
      </c>
    </row>
    <row r="34" spans="1:6" ht="13.9" x14ac:dyDescent="0.4">
      <c r="A34" s="4" t="str">
        <f>Budget!A35</f>
        <v>Boll Weevil Eradication Fee; See Note 3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3</v>
      </c>
      <c r="F34" s="307">
        <f>Budget!F35</f>
        <v>3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28</v>
      </c>
      <c r="F35" s="307">
        <f>Budget!F36</f>
        <v>28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758.88427000311685</v>
      </c>
      <c r="F36" s="307">
        <f>Budget!F37</f>
        <v>31.30397613762857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>Post-Harvest Expenses; See Note 4</v>
      </c>
      <c r="B38" s="403" t="str">
        <f>Budget!B39</f>
        <v xml:space="preserve"> </v>
      </c>
      <c r="C38" s="307" t="str">
        <f>Budget!C39</f>
        <v xml:space="preserve"> </v>
      </c>
      <c r="D38" s="307" t="str">
        <f>Budget!D39</f>
        <v xml:space="preserve"> </v>
      </c>
      <c r="E38" s="307" t="str">
        <f>IF(A2_Budget_Look_Up!B13&gt;0,Budget!E39," ")</f>
        <v xml:space="preserve"> </v>
      </c>
      <c r="F38" s="307" t="str">
        <f>Budget!F39</f>
        <v xml:space="preserve"> </v>
      </c>
    </row>
    <row r="39" spans="1:6" ht="14.1" customHeight="1" x14ac:dyDescent="0.4">
      <c r="A39" s="4" t="str">
        <f>Budget!A40</f>
        <v xml:space="preserve">   Hauling, Ginning</v>
      </c>
      <c r="B39" s="403">
        <f>Budget!B40</f>
        <v>1</v>
      </c>
      <c r="C39" s="307" t="str">
        <f>Budget!C40</f>
        <v>Lbs</v>
      </c>
      <c r="D39" s="307">
        <f>Budget!D40</f>
        <v>1200</v>
      </c>
      <c r="E39" s="307">
        <f>Budget!E40</f>
        <v>0.1</v>
      </c>
      <c r="F39" s="307">
        <f>Budget!F40</f>
        <v>120</v>
      </c>
    </row>
    <row r="40" spans="1:6" ht="14.1" customHeight="1" x14ac:dyDescent="0.4">
      <c r="A40" s="4" t="str">
        <f>Budget!A41</f>
        <v xml:space="preserve">   Storage and Warehousing</v>
      </c>
      <c r="B40" s="403">
        <f>Budget!B41</f>
        <v>1</v>
      </c>
      <c r="C40" s="307" t="str">
        <f>Budget!C41</f>
        <v>Bale</v>
      </c>
      <c r="D40" s="307">
        <f>Budget!D41</f>
        <v>2.4</v>
      </c>
      <c r="E40" s="307">
        <f>Budget!E41</f>
        <v>20</v>
      </c>
      <c r="F40" s="307">
        <f>Budget!F41</f>
        <v>48</v>
      </c>
    </row>
    <row r="41" spans="1:6" ht="14.1" customHeight="1" x14ac:dyDescent="0.4">
      <c r="A41" s="4" t="str">
        <f>Budget!A42</f>
        <v xml:space="preserve">   Promotions, Boards, Classing</v>
      </c>
      <c r="B41" s="403">
        <f>Budget!B42</f>
        <v>1</v>
      </c>
      <c r="C41" s="307" t="str">
        <f>Budget!C42</f>
        <v>Bale</v>
      </c>
      <c r="D41" s="307">
        <f>Budget!D42</f>
        <v>2.4</v>
      </c>
      <c r="E41" s="307">
        <f>Budget!E42</f>
        <v>4.9249999999999998</v>
      </c>
      <c r="F41" s="307">
        <f>Budget!F42</f>
        <v>11.819999999999999</v>
      </c>
    </row>
    <row r="42" spans="1:6" ht="14.1" customHeight="1" x14ac:dyDescent="0.4">
      <c r="A42" s="4" t="str">
        <f>Budget!A43</f>
        <v xml:space="preserve"> </v>
      </c>
      <c r="B42" s="403" t="str">
        <f>Budget!B43</f>
        <v xml:space="preserve"> </v>
      </c>
      <c r="C42" s="307" t="str">
        <f>Budget!C43</f>
        <v xml:space="preserve"> </v>
      </c>
      <c r="D42" s="307" t="str">
        <f>Budget!D43</f>
        <v xml:space="preserve"> </v>
      </c>
      <c r="E42" s="307" t="str">
        <f>Budget!E43</f>
        <v xml:space="preserve"> </v>
      </c>
      <c r="F42" s="307" t="str">
        <f>Budget!F43</f>
        <v xml:space="preserve"> 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778.91324614074551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49.086753859254372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167.00534401546685</v>
      </c>
      <c r="F47" s="311">
        <f>Budget!F48</f>
        <v>167.00534401546685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38.155984089812883</v>
      </c>
      <c r="F48" s="311">
        <f>Budget!F49</f>
        <v>38.155984089812883</v>
      </c>
    </row>
    <row r="49" spans="1:6" ht="14.1" customHeight="1" x14ac:dyDescent="0.4">
      <c r="A49" s="4" t="str">
        <f>Budget!A50</f>
        <v>Farm Overhead; See Note 5</v>
      </c>
      <c r="B49" s="311"/>
      <c r="C49" s="311" t="str">
        <f>Budget!C50</f>
        <v>Acre</v>
      </c>
      <c r="D49" s="408">
        <f>Budget!D50</f>
        <v>1</v>
      </c>
      <c r="E49" s="311">
        <f>Budget!E50</f>
        <v>8.3502672007733434</v>
      </c>
      <c r="F49" s="311">
        <f>Budget!F50</f>
        <v>8.3502672007733434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213.51159530605307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992.42484144679861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-164.42484144679872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Technology fees vary by geographical location.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>Note 3: Boll weevil eradication fee is $3 in Arkansas.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>Note 4: Cottonseed value deducted from post-harvest expenses for calculating operating expenses.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>Note 5: Estimate based on machinery and equipment.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ThyrvOn Cotton, Furrow</v>
      </c>
      <c r="H1" s="1246"/>
      <c r="I1" s="1442"/>
    </row>
    <row r="2" spans="1:9" ht="15" customHeight="1" x14ac:dyDescent="0.4">
      <c r="A2" s="1806" t="str">
        <f>Print_Summary!G1</f>
        <v>ThyrvOn Cotton, Furrow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1000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758884.27000311692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1000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(lb.)</v>
      </c>
      <c r="B6" s="1820">
        <f>Budget!D3</f>
        <v>1200</v>
      </c>
      <c r="C6" s="1820"/>
      <c r="D6" s="1821">
        <f>B6*Print_Summary!$I$2</f>
        <v>1200000</v>
      </c>
      <c r="E6" s="1097" t="s">
        <v>797</v>
      </c>
      <c r="F6" s="1541">
        <f>B6*0.9</f>
        <v>1080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($/lb.)</v>
      </c>
      <c r="B7" s="1097">
        <f>Budget!E3</f>
        <v>0.69</v>
      </c>
      <c r="C7" s="1097"/>
      <c r="D7" s="1823">
        <f>B7</f>
        <v>0.69</v>
      </c>
      <c r="E7" s="1097" t="s">
        <v>791</v>
      </c>
      <c r="F7" s="1542">
        <f>B7</f>
        <v>0.69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827.99999999999989</v>
      </c>
      <c r="C9" s="1826"/>
      <c r="D9" s="1827">
        <f>B9*Print_Summary!$I$2</f>
        <v>827999.99999999988</v>
      </c>
      <c r="E9" s="667" t="s">
        <v>13</v>
      </c>
      <c r="F9" s="1828">
        <f>F6*F7</f>
        <v>745.19999999999993</v>
      </c>
      <c r="G9" s="4"/>
      <c r="H9" s="4"/>
      <c r="I9" s="4"/>
    </row>
    <row r="10" spans="1:9" ht="13.9" x14ac:dyDescent="0.4">
      <c r="A10" s="1825" t="str">
        <f>IF(A2_Budget_Look_Up!B7=1,"Cottonseed Value"," ")</f>
        <v>Cottonseed Value</v>
      </c>
      <c r="B10" s="173">
        <f>IF(A2_Budget_Look_Up!B7=1,Budget!F4," ")</f>
        <v>179.82</v>
      </c>
      <c r="C10" s="173"/>
      <c r="D10" s="1827">
        <f>IF(A2_Budget_Look_Up!B7=1,B10*Print_Summary!$I$2," ")</f>
        <v>179820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$/lb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113.05</v>
      </c>
      <c r="C13" s="1835">
        <f>B13/$B$6</f>
        <v>9.4208333333333324E-2</v>
      </c>
      <c r="D13" s="1821">
        <f>B13*Print_Summary!$I$2</f>
        <v>113050</v>
      </c>
      <c r="E13" s="4"/>
      <c r="F13" s="1824">
        <f>B13/$F$9</f>
        <v>0.15170424047235642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165.09916666666666</v>
      </c>
      <c r="C14" s="1835">
        <f t="shared" ref="C14:C34" si="0">B14/$B$6</f>
        <v>0.13758263888888889</v>
      </c>
      <c r="D14" s="1821">
        <f>B14*Print_Summary!$I$2</f>
        <v>165099.16666666666</v>
      </c>
      <c r="E14" s="4"/>
      <c r="F14" s="1824">
        <f t="shared" ref="F14:F19" si="1">B14/$F$9</f>
        <v>0.2215501431383074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173.88968749999998</v>
      </c>
      <c r="C15" s="1835">
        <f t="shared" si="0"/>
        <v>0.14490807291666666</v>
      </c>
      <c r="D15" s="1821">
        <f>B15*Print_Summary!$I$2</f>
        <v>173889.68749999997</v>
      </c>
      <c r="E15" s="4"/>
      <c r="F15" s="1824">
        <f t="shared" si="1"/>
        <v>0.23334633319914116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124.5</v>
      </c>
      <c r="C16" s="1835">
        <f t="shared" si="0"/>
        <v>0.10375</v>
      </c>
      <c r="D16" s="1821">
        <f>B16*Print_Summary!$I$2</f>
        <v>124500</v>
      </c>
      <c r="E16" s="4"/>
      <c r="F16" s="1824">
        <f t="shared" si="1"/>
        <v>0.1670692431561997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17.131385983811342</v>
      </c>
      <c r="C17" s="1835">
        <f t="shared" si="0"/>
        <v>1.4276154986509451E-2</v>
      </c>
      <c r="D17" s="1821">
        <f>B17*Print_Summary!$I$2</f>
        <v>17131.385983811342</v>
      </c>
      <c r="E17" s="4"/>
      <c r="F17" s="1824">
        <f t="shared" si="1"/>
        <v>2.2988977433992676E-2</v>
      </c>
    </row>
    <row r="18" spans="1:6" ht="13.9" x14ac:dyDescent="0.4">
      <c r="A18" s="1834" t="s">
        <v>227</v>
      </c>
      <c r="B18" s="1835">
        <f>Budget!F29</f>
        <v>34.86698941353383</v>
      </c>
      <c r="C18" s="1835">
        <f t="shared" si="0"/>
        <v>2.9055824511278191E-2</v>
      </c>
      <c r="D18" s="1821">
        <f>B18*Print_Summary!$I$2</f>
        <v>34866.989413533833</v>
      </c>
      <c r="E18" s="4"/>
      <c r="F18" s="1824">
        <f t="shared" si="1"/>
        <v>4.678876732895039E-2</v>
      </c>
    </row>
    <row r="19" spans="1:6" ht="13.9" x14ac:dyDescent="0.4">
      <c r="A19" s="1834" t="s">
        <v>421</v>
      </c>
      <c r="B19" s="1835">
        <f>Budget!F31+Budget!F32</f>
        <v>35.85</v>
      </c>
      <c r="C19" s="1835">
        <f t="shared" si="0"/>
        <v>2.9875000000000002E-2</v>
      </c>
      <c r="D19" s="1821">
        <f>B19*Print_Summary!$I$2</f>
        <v>35850</v>
      </c>
      <c r="E19" s="4"/>
      <c r="F19" s="1824">
        <f t="shared" si="1"/>
        <v>4.8107890499194852E-2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664.38722956401182</v>
      </c>
      <c r="C20" s="1836">
        <f t="shared" si="0"/>
        <v>0.55365602463667651</v>
      </c>
      <c r="D20" s="1827">
        <f>B20*Print_Summary!$I$2</f>
        <v>664387.2295640118</v>
      </c>
      <c r="E20" s="308"/>
      <c r="F20" s="1837">
        <f t="shared" ref="F20:F28" si="2">B20/$F$9</f>
        <v>0.89155559522814265</v>
      </c>
    </row>
    <row r="21" spans="1:6" ht="13.9" x14ac:dyDescent="0.4">
      <c r="A21" s="1834" t="s">
        <v>778</v>
      </c>
      <c r="B21" s="1835">
        <f>Budget!F34+Budget!F35</f>
        <v>13</v>
      </c>
      <c r="C21" s="1835">
        <f t="shared" si="0"/>
        <v>1.0833333333333334E-2</v>
      </c>
      <c r="D21" s="1821">
        <f>B21*Print_Summary!$I$2</f>
        <v>13000</v>
      </c>
      <c r="E21" s="4"/>
      <c r="F21" s="1824">
        <f t="shared" si="2"/>
        <v>1.7444981213097156E-2</v>
      </c>
    </row>
    <row r="22" spans="1:6" ht="13.9" x14ac:dyDescent="0.4">
      <c r="A22" s="1834" t="s">
        <v>1</v>
      </c>
      <c r="B22" s="1835">
        <f>Budget!F36</f>
        <v>28</v>
      </c>
      <c r="C22" s="1835">
        <f t="shared" si="0"/>
        <v>2.3333333333333334E-2</v>
      </c>
      <c r="D22" s="1821">
        <f>B22*Print_Summary!$I$2</f>
        <v>28000</v>
      </c>
      <c r="E22" s="4"/>
      <c r="F22" s="1824">
        <f t="shared" si="2"/>
        <v>3.7573805689747719E-2</v>
      </c>
    </row>
    <row r="23" spans="1:6" ht="13.9" x14ac:dyDescent="0.4">
      <c r="A23" s="1834" t="s">
        <v>749</v>
      </c>
      <c r="B23" s="1835">
        <f>Budget!F26+Budget!F28+Budget!F30</f>
        <v>34.378319648678698</v>
      </c>
      <c r="C23" s="1835">
        <f t="shared" si="0"/>
        <v>2.8648599707232249E-2</v>
      </c>
      <c r="D23" s="1821">
        <f>B23*Print_Summary!$I$2</f>
        <v>34378.319648678698</v>
      </c>
      <c r="E23" s="4"/>
      <c r="F23" s="1824">
        <f t="shared" si="2"/>
        <v>4.6133010800696053E-2</v>
      </c>
    </row>
    <row r="24" spans="1:6" ht="13.9" x14ac:dyDescent="0.4">
      <c r="A24" s="1834" t="s">
        <v>214</v>
      </c>
      <c r="B24" s="1835">
        <f>Budget!F33</f>
        <v>19.11872079042649</v>
      </c>
      <c r="C24" s="1835">
        <f t="shared" si="0"/>
        <v>1.5932267325355409E-2</v>
      </c>
      <c r="D24" s="1821">
        <f>B24*Print_Summary!$I$2</f>
        <v>19118.720790426491</v>
      </c>
      <c r="E24" s="4"/>
      <c r="F24" s="1824">
        <f t="shared" si="2"/>
        <v>2.565582500057232E-2</v>
      </c>
    </row>
    <row r="25" spans="1:6" ht="13.5" x14ac:dyDescent="0.35">
      <c r="A25" s="1825" t="s">
        <v>640</v>
      </c>
      <c r="B25" s="1836">
        <f>SUM(Budget!F6:F18)+SUM(Budget!F20:F23)+SUM(Budget!F25:F36)</f>
        <v>758.88427000311697</v>
      </c>
      <c r="C25" s="1836">
        <f t="shared" si="0"/>
        <v>0.63240355833593076</v>
      </c>
      <c r="D25" s="1827">
        <f>B25*Print_Summary!$I$2</f>
        <v>758884.27000311692</v>
      </c>
      <c r="E25" s="308"/>
      <c r="F25" s="1837">
        <f t="shared" si="2"/>
        <v>1.0183632179322559</v>
      </c>
    </row>
    <row r="26" spans="1:6" ht="13.9" x14ac:dyDescent="0.4">
      <c r="A26" s="1834" t="s">
        <v>28</v>
      </c>
      <c r="B26" s="1835">
        <f>Budget!F37</f>
        <v>31.30397613762857</v>
      </c>
      <c r="C26" s="1835">
        <f t="shared" si="0"/>
        <v>2.608664678135714E-2</v>
      </c>
      <c r="D26" s="1821">
        <f>B26*Print_Summary!$I$2</f>
        <v>31303.976137628571</v>
      </c>
      <c r="E26" s="4"/>
      <c r="F26" s="1824">
        <f t="shared" si="2"/>
        <v>4.2007482739705546E-2</v>
      </c>
    </row>
    <row r="27" spans="1:6" ht="13.9" x14ac:dyDescent="0.4">
      <c r="A27" s="1834" t="s">
        <v>228</v>
      </c>
      <c r="B27" s="1835">
        <f>SUM(Budget!F39:F43)</f>
        <v>179.82</v>
      </c>
      <c r="C27" s="1835">
        <f t="shared" si="0"/>
        <v>0.14984999999999998</v>
      </c>
      <c r="D27" s="1821">
        <f>B27*Print_Summary!$I$2</f>
        <v>179820</v>
      </c>
      <c r="E27" s="4"/>
      <c r="F27" s="1824">
        <f t="shared" si="2"/>
        <v>0.24130434782608698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Operating Expenses</v>
      </c>
      <c r="B29" s="1836">
        <f>SUM(B13:B19)+SUM(B21:B24)+SUM(B26:B28)-IF(A2_Budget_Look_Up!B7=1,B10,0)</f>
        <v>790.1882461407456</v>
      </c>
      <c r="C29" s="1836">
        <f t="shared" si="0"/>
        <v>0.65849020511728795</v>
      </c>
      <c r="D29" s="1827">
        <f>B29*Print_Summary!$I$2</f>
        <v>790188.24614074558</v>
      </c>
      <c r="E29" s="308"/>
      <c r="F29" s="1824"/>
    </row>
    <row r="30" spans="1:6" ht="13.5" x14ac:dyDescent="0.35">
      <c r="A30" s="1825" t="s">
        <v>233</v>
      </c>
      <c r="B30" s="1826">
        <f>B9-B29-B31</f>
        <v>37.811753859254281</v>
      </c>
      <c r="C30" s="1826">
        <f t="shared" si="0"/>
        <v>3.1509794882711904E-2</v>
      </c>
      <c r="D30" s="1827">
        <f>B30*Print_Summary!$I$2</f>
        <v>37811.753859254284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213.51159530605307</v>
      </c>
      <c r="C32" s="1835">
        <f t="shared" si="0"/>
        <v>0.17792632942171088</v>
      </c>
      <c r="D32" s="1821">
        <f>B32*Print_Summary!$I$2</f>
        <v>213511.59530605306</v>
      </c>
      <c r="E32" s="4"/>
      <c r="F32" s="1824">
        <f>B32/$F$9</f>
        <v>0.28651582837634604</v>
      </c>
    </row>
    <row r="33" spans="1:6" ht="13.5" x14ac:dyDescent="0.35">
      <c r="A33" s="1825" t="s">
        <v>650</v>
      </c>
      <c r="B33" s="1836">
        <f>B29+B32</f>
        <v>1003.6998414467987</v>
      </c>
      <c r="C33" s="1836">
        <f t="shared" si="0"/>
        <v>0.83641653453899889</v>
      </c>
      <c r="D33" s="1827">
        <f>B33*Print_Summary!$I$2</f>
        <v>1003699.8414467986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-175.69984144679881</v>
      </c>
      <c r="C34" s="1826">
        <f t="shared" si="0"/>
        <v>-0.146416534538999</v>
      </c>
      <c r="D34" s="1827">
        <f>B34*Print_Summary!$I$2</f>
        <v>-175699.84144679882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Expenses/lb.</v>
      </c>
      <c r="B36" s="1097">
        <f>B29/B6</f>
        <v>0.65849020511728795</v>
      </c>
      <c r="C36" s="1097"/>
      <c r="D36" s="1823">
        <f>D29/D6</f>
        <v>0.65849020511728795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Expenses/lb.</v>
      </c>
      <c r="B37" s="1097">
        <f>B33/B6</f>
        <v>0.83641653453899889</v>
      </c>
      <c r="C37" s="1097"/>
      <c r="D37" s="1823">
        <f>D33/D6</f>
        <v>0.83641653453899889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34. 2026 Cotton Enterprise Budget, ThryvOn, Furrow Irrigation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7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1</v>
      </c>
      <c r="C7" s="4"/>
      <c r="D7" s="183" t="str">
        <f>LOOKUP(C4,F3:F52,H3:H52)</f>
        <v>ThyrvOn Cotton, Furrow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0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0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Thous</v>
      </c>
      <c r="E11" s="183" t="str">
        <f>LOOKUP(C4,F3:F52,J3:J52)</f>
        <v>Thous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0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0</v>
      </c>
      <c r="C13" s="4"/>
      <c r="D13" s="1241" t="str">
        <f>LOOKUP(C4,F3:F52,K3:K52)</f>
        <v>Table 34. Details of Chemicals Applied, ThryvOn Cotton, Furrow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34. Machinery Capital Recovery and Operating Costs, W3FE Cotton, Furrow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34. 2026 Cotton Enterprise Budget, ThryvOn, Furrow Irrigation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77.229166666666657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790.18824614074538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167.00534401546685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213.51159530605307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-175.69984144679859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0.9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>
        <f>IF(A2_Budget_Look_Up!B7=1,B16," ")</f>
        <v>0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2.4</v>
      </c>
      <c r="C24" s="896" t="s">
        <v>309</v>
      </c>
      <c r="D24" s="897" t="str">
        <f>IF(A2_Budget_Look_Up!B13&gt;0,"   Hauling",E24)</f>
        <v>Post-Harvest Expenses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1200</v>
      </c>
    </row>
    <row r="25" spans="2:10" ht="12.75" customHeight="1" x14ac:dyDescent="0.4">
      <c r="B25" s="899" t="str">
        <f>IF(A2_Budget_Look_Up!B13=1,"Tons",I24)</f>
        <v>Bu.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Bu.</v>
      </c>
      <c r="J25" s="900"/>
    </row>
    <row r="26" spans="2:10" ht="12.75" customHeight="1" x14ac:dyDescent="0.4">
      <c r="B26" s="899" t="str">
        <f>IF(A2_Budget_Look_Up!B13=1,"Tons",I25)</f>
        <v>Bu.</v>
      </c>
      <c r="C26" s="894" t="str">
        <f>IF(A2_Budget_Look_Up!B13=1,"per Ton","per Bushel")</f>
        <v>per Bushel</v>
      </c>
      <c r="D26" s="894" t="str">
        <f>IF(A2_Budget_Look_Up!B13=1,"Yield (ton)","Yield (bu.)")</f>
        <v>Yield (bu.)</v>
      </c>
      <c r="E26" s="894" t="str">
        <f>IF(A2_Budget_Look_Up!B13=1,"Price ($/ton)","Price ($/bu.)")</f>
        <v>Price ($/bu.)</v>
      </c>
      <c r="F26" s="894" t="str">
        <f>IF(A2_Budget_Look_Up!B13=1,"Operating Expenses/ton","Operating Expenses/bu.")</f>
        <v>Operating Expenses/bu.</v>
      </c>
      <c r="G26" s="894" t="str">
        <f>IF(A2_Budget_Look_Up!B13=1,"$/ton","$/bu.")</f>
        <v>$/bu.</v>
      </c>
      <c r="H26" s="900" t="str">
        <f>IF(A2_Budget_Look_Up!B13=1,"Total Specified Expenses/ton","Total Specified Expenses/bu.")</f>
        <v>Total Specified Expenses/bu.</v>
      </c>
      <c r="I26" s="899" t="str">
        <f>IF(A2_Budget_Look_Up!B14=1,Program_Variables!D42,B26)</f>
        <v>Bu.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Drying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Hauling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1200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1200</v>
      </c>
      <c r="J30" s="900"/>
    </row>
    <row r="31" spans="2:10" ht="12.75" customHeight="1" x14ac:dyDescent="0.4">
      <c r="B31" s="901">
        <f>IF(A2_Budget_Look_Up!B13&gt;0,Budget!D3*Budget!B41,I31)</f>
        <v>1200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1200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1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16500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9.5864597009256336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19000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1920</v>
      </c>
      <c r="H6" s="288">
        <f>((B6*F6)/G6)*Budget!$D$29</f>
        <v>14.731992314724318</v>
      </c>
      <c r="I6" s="284"/>
      <c r="J6" s="301"/>
      <c r="K6" s="820">
        <f>((B6*M6)/G6)*Irrigation!L6</f>
        <v>0.19791666666666666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17155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1920</v>
      </c>
      <c r="H7" s="288">
        <f>((B7*F7)/G7)*Budget!$D$29</f>
        <v>13.30143832416293</v>
      </c>
      <c r="I7" s="284"/>
      <c r="J7" s="301"/>
      <c r="K7" s="820">
        <f>((B7*M7)/G7)*Irrigation!L7</f>
        <v>0.17869791666666668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0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1920</v>
      </c>
      <c r="H8" s="288">
        <f>((B8*F8)/G8)*Budget!$D$29</f>
        <v>0</v>
      </c>
      <c r="I8" s="284"/>
      <c r="J8" s="842"/>
      <c r="K8" s="820">
        <f>((B8*M8)/G8)*Irrigation!L8</f>
        <v>0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0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1920</v>
      </c>
      <c r="H9" s="288">
        <f>((B9*F9)/G9)*Budget!$D$29</f>
        <v>0</v>
      </c>
      <c r="I9" s="284"/>
      <c r="J9" s="842"/>
      <c r="K9" s="821">
        <f>((B9*M9)/G9)*Irrigation!L9</f>
        <v>0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37.619890339812883</v>
      </c>
      <c r="I10" s="292"/>
      <c r="J10" s="842"/>
      <c r="K10" s="829">
        <f>SUM(K4:K9)</f>
        <v>0.37661458333333331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17155</v>
      </c>
      <c r="D12" s="970">
        <f>IF(Irrigation!B2=2,IF(OR(Irrigation!B7=1,Irrigation!B7&gt;3),Irrigation!E13,0),0)</f>
        <v>0</v>
      </c>
      <c r="E12" s="282"/>
      <c r="F12" s="970">
        <f>IF(Irrigation!B2=2,IF(OR(Irrigation!B7=1,Irrigation!B7&gt;3),Irrigation!E16,0),0)</f>
        <v>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1920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1920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124.62</v>
      </c>
      <c r="C21" s="694">
        <f t="shared" si="1"/>
        <v>124.62</v>
      </c>
      <c r="D21" s="694">
        <f t="shared" si="1"/>
        <v>124.62</v>
      </c>
      <c r="E21" s="694">
        <f t="shared" si="1"/>
        <v>124.62</v>
      </c>
      <c r="F21" s="694">
        <f t="shared" si="1"/>
        <v>124.62</v>
      </c>
      <c r="G21" s="694">
        <f t="shared" si="1"/>
        <v>124.62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2.9055824511278194</v>
      </c>
      <c r="C26" s="696">
        <f>C22*((0.11345/(C23*C24*C25))*C21)</f>
        <v>0.23358664434782608</v>
      </c>
      <c r="D26" s="696">
        <f>D22*((0.11345/(D23*D24))*D21)</f>
        <v>0.25583299142857141</v>
      </c>
      <c r="E26" s="696">
        <f>E22*((0.11345/(E23*E24*E25))*E21)</f>
        <v>1.5732665954887219</v>
      </c>
      <c r="F26" s="696">
        <f>F22*((0.11345/(F23*F24*F25))*F21)</f>
        <v>3.0924159125085446</v>
      </c>
      <c r="G26" s="696">
        <f>G22*((0.11345/(G23*G24*G25))*G21)</f>
        <v>4.6064112030075197</v>
      </c>
      <c r="H26" s="697" t="s">
        <v>110</v>
      </c>
      <c r="I26" s="387">
        <f>SUM(B34:G34)</f>
        <v>2.9055824511278194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85.775000000000006</v>
      </c>
      <c r="L26" s="957">
        <f>K26/IF(Irrigation!B2=2,Irrigation!I15,Irrigation!I14)</f>
        <v>0.53609375000000004</v>
      </c>
      <c r="M26" s="301"/>
    </row>
    <row r="27" spans="1:13" x14ac:dyDescent="0.35">
      <c r="A27" s="706" t="s">
        <v>109</v>
      </c>
      <c r="B27" s="695">
        <f>B26*Budget!D29</f>
        <v>34.86698941353383</v>
      </c>
      <c r="C27" s="696">
        <f>C26*Budget!D29</f>
        <v>2.8030397321739131</v>
      </c>
      <c r="D27" s="696">
        <f>D26*Budget!D29</f>
        <v>3.0699958971428569</v>
      </c>
      <c r="E27" s="696">
        <f>E26*Budget!D29</f>
        <v>18.879199145864664</v>
      </c>
      <c r="F27" s="696">
        <f>F26*Budget!D29</f>
        <v>37.108990950102537</v>
      </c>
      <c r="G27" s="696">
        <f>G26*Budget!D29</f>
        <v>55.276934436090237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0.37661458333333331</v>
      </c>
      <c r="C29" s="288">
        <f t="shared" si="2"/>
        <v>0.37661458333333331</v>
      </c>
      <c r="D29" s="288">
        <f t="shared" si="2"/>
        <v>0.37661458333333331</v>
      </c>
      <c r="E29" s="288">
        <f t="shared" si="2"/>
        <v>0.37661458333333331</v>
      </c>
      <c r="F29" s="288">
        <f t="shared" si="2"/>
        <v>0.37661458333333331</v>
      </c>
      <c r="G29" s="709">
        <f t="shared" si="2"/>
        <v>0.37661458333333331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3.1961406962406018</v>
      </c>
      <c r="C30" s="698">
        <f>(1+C28)*C26</f>
        <v>0.24059424367826088</v>
      </c>
      <c r="D30" s="698">
        <f>(1+D28)*D26</f>
        <v>0.2737413008285714</v>
      </c>
      <c r="E30" s="698">
        <f>(1+E28)*E26</f>
        <v>1.7620585869473688</v>
      </c>
      <c r="F30" s="698">
        <f>(1+F28)*F26</f>
        <v>3.4635058220095702</v>
      </c>
      <c r="G30" s="698">
        <f>(1+G28)*G26</f>
        <v>5.2973728834586469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38.353688354887225</v>
      </c>
      <c r="C31" s="699">
        <f t="shared" si="3"/>
        <v>2.8871309241391305</v>
      </c>
      <c r="D31" s="699">
        <f t="shared" si="3"/>
        <v>3.2848956099428568</v>
      </c>
      <c r="E31" s="699">
        <f t="shared" si="3"/>
        <v>21.144703043368427</v>
      </c>
      <c r="F31" s="699">
        <f t="shared" si="3"/>
        <v>41.562069864114846</v>
      </c>
      <c r="G31" s="712">
        <f t="shared" si="3"/>
        <v>63.568474601503766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4.5193750000000001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4.5193750000000001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2.9055824511278194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3.3E-3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124.62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0</v>
      </c>
    </row>
    <row r="39" spans="1:13" x14ac:dyDescent="0.35">
      <c r="A39" s="304"/>
      <c r="B39" s="719">
        <f>IF(Irrigation!B2=1,2,0)</f>
        <v>2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0</v>
      </c>
    </row>
    <row r="40" spans="1:13" ht="13.15" x14ac:dyDescent="0.4">
      <c r="A40" s="304"/>
      <c r="B40" s="305">
        <f>IF(Irrigation!B2=2,30,0)</f>
        <v>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3.3E-3</v>
      </c>
    </row>
    <row r="41" spans="1:13" ht="13.5" thickBot="1" x14ac:dyDescent="0.45">
      <c r="A41" s="304"/>
      <c r="B41" s="305">
        <f>SUM(B39:B40)</f>
        <v>2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3.9599999999999996E-2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1920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1920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1920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1920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17155</v>
      </c>
      <c r="D55" s="970">
        <f>IF(Irrigation!B2=2,IF(OR(Irrigation!B7=1,Irrigation!B7&gt;3),Irrigation!E13,0),0)</f>
        <v>0</v>
      </c>
      <c r="E55" s="282"/>
      <c r="F55" s="970">
        <f>IF(Irrigation!B2=2,IF(OR(Irrigation!B7=1,Irrigation!B7&gt;3),Irrigation!E16,0),0)</f>
        <v>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1920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1920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124.62</v>
      </c>
      <c r="C64" s="694">
        <f t="shared" si="5"/>
        <v>124.62</v>
      </c>
      <c r="D64" s="694">
        <f t="shared" si="5"/>
        <v>124.62</v>
      </c>
      <c r="E64" s="694">
        <f t="shared" si="5"/>
        <v>124.62</v>
      </c>
      <c r="F64" s="694">
        <f t="shared" si="5"/>
        <v>124.62</v>
      </c>
      <c r="G64" s="694">
        <f t="shared" si="5"/>
        <v>124.62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2.9055824511278194</v>
      </c>
      <c r="C69" s="696">
        <f>C65*((0.11345/(C66*C67*C68))*C64)</f>
        <v>0.23358664434782608</v>
      </c>
      <c r="D69" s="696">
        <f>D65*((0.11345/(D66*D67))*D64)</f>
        <v>0.25583299142857141</v>
      </c>
      <c r="E69" s="696">
        <f>E65*((0.11345/(E66*E67*E68))*E64)</f>
        <v>1.5732665954887219</v>
      </c>
      <c r="F69" s="696">
        <f>F65*((0.11345/(F66*F67*F68))*F64)</f>
        <v>3.0924159125085446</v>
      </c>
      <c r="G69" s="696">
        <f>G65*((0.11345/(G66*G67*G68))*G64)</f>
        <v>4.6064112030075197</v>
      </c>
      <c r="H69" s="697" t="s">
        <v>110</v>
      </c>
      <c r="I69" s="387">
        <f>SUM(B77:G77)</f>
        <v>2.9055824511278194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34.86698941353383</v>
      </c>
      <c r="C70" s="696">
        <f>C69*Budget!D29</f>
        <v>2.8030397321739131</v>
      </c>
      <c r="D70" s="696">
        <f>D69*Budget!D29</f>
        <v>3.0699958971428569</v>
      </c>
      <c r="E70" s="696">
        <f>E69*Budget!D29</f>
        <v>18.879199145864664</v>
      </c>
      <c r="F70" s="696">
        <f>F69*Budget!D29</f>
        <v>37.108990950102537</v>
      </c>
      <c r="G70" s="696">
        <f>G69*Budget!D29</f>
        <v>55.276934436090237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3.1961406962406018</v>
      </c>
      <c r="C73" s="698">
        <f>(1+C71)*C69</f>
        <v>0.24059424367826088</v>
      </c>
      <c r="D73" s="698">
        <f>(1+D71)*D69</f>
        <v>0.2737413008285714</v>
      </c>
      <c r="E73" s="698">
        <f>(1+E71)*E69</f>
        <v>1.7620585869473688</v>
      </c>
      <c r="F73" s="698">
        <f>(1+F71)*F69</f>
        <v>3.4635058220095702</v>
      </c>
      <c r="G73" s="698">
        <f>(1+G71)*G69</f>
        <v>5.2973728834586469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38.353688354887225</v>
      </c>
      <c r="C74" s="699">
        <f t="shared" si="7"/>
        <v>2.8871309241391305</v>
      </c>
      <c r="D74" s="699">
        <f t="shared" si="7"/>
        <v>3.2848956099428568</v>
      </c>
      <c r="E74" s="699">
        <f t="shared" si="7"/>
        <v>21.144703043368427</v>
      </c>
      <c r="F74" s="699">
        <f t="shared" si="7"/>
        <v>41.562069864114846</v>
      </c>
      <c r="G74" s="712">
        <f t="shared" si="7"/>
        <v>63.568474601503766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2.9055824511278194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3.3E-3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124.62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0</v>
      </c>
    </row>
    <row r="82" spans="1:13" x14ac:dyDescent="0.35">
      <c r="A82" s="304"/>
      <c r="B82" s="719">
        <f>IF(Irrigation!B2=1,2,0)</f>
        <v>2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0</v>
      </c>
    </row>
    <row r="83" spans="1:13" ht="13.15" x14ac:dyDescent="0.4">
      <c r="A83" s="304"/>
      <c r="B83" s="305">
        <f>IF(Irrigation!B2=2,30,0)</f>
        <v>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3.3E-3</v>
      </c>
    </row>
    <row r="84" spans="1:13" ht="13.5" thickBot="1" x14ac:dyDescent="0.45">
      <c r="A84" s="304"/>
      <c r="B84" s="305">
        <f>SUM(B82:B83)</f>
        <v>2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3.9599999999999996E-2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ThyrvOn Cotton, Furrow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1000</v>
      </c>
      <c r="D5" s="1843"/>
      <c r="E5" s="468">
        <f t="shared" ref="E5:F7" si="0">B5</f>
        <v>1</v>
      </c>
      <c r="F5" s="1844">
        <f t="shared" si="0"/>
        <v>1000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(lb.)</v>
      </c>
      <c r="B6" s="1096">
        <f>Budget!D3</f>
        <v>1200</v>
      </c>
      <c r="C6" s="1822">
        <f>B6*Print_Summary!$I$2</f>
        <v>1200000</v>
      </c>
      <c r="D6" s="1845"/>
      <c r="E6" s="1096">
        <f t="shared" si="0"/>
        <v>1200</v>
      </c>
      <c r="F6" s="1821">
        <f t="shared" si="0"/>
        <v>1200000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($/lb.)</v>
      </c>
      <c r="B7" s="1097">
        <f>Budget!E3</f>
        <v>0.69</v>
      </c>
      <c r="C7" s="1097">
        <f>B7</f>
        <v>0.69</v>
      </c>
      <c r="D7" s="1846"/>
      <c r="E7" s="1097">
        <f t="shared" si="0"/>
        <v>0.69</v>
      </c>
      <c r="F7" s="1847">
        <f t="shared" si="0"/>
        <v>0.69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827.99999999999989</v>
      </c>
      <c r="C9" s="1829">
        <f>B9*Print_Summary!$I$2</f>
        <v>827999.99999999988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>Cottonseed Value</v>
      </c>
      <c r="B10" s="1826">
        <f>IF(A2_Budget_Look_Up!B7=1,Budget!F4," ")</f>
        <v>179.82</v>
      </c>
      <c r="C10" s="1829">
        <f>IF(A2_Budget_Look_Up!B7=1,B10*Print_Summary!$I$2," ")</f>
        <v>179820</v>
      </c>
      <c r="D10" s="1849"/>
      <c r="E10" s="173">
        <f>IF(A2_Budget_Look_Up!B7=1,IF(A2_Budget_Look_Up!B7=1,Budget!D4*Budget!E4,0)*(1-Budget!B4)," ")</f>
        <v>0</v>
      </c>
      <c r="F10" s="1827">
        <f>IF(A2_Budget_Look_Up!B7=1,E10*Print_Summary!$I$2," ")</f>
        <v>0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113.05</v>
      </c>
      <c r="C13" s="1822">
        <f>B13*Print_Summary!$I$2</f>
        <v>113050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-7.1250000000000142</v>
      </c>
    </row>
    <row r="14" spans="1:9" ht="13.9" x14ac:dyDescent="0.4">
      <c r="A14" s="1834" t="s">
        <v>224</v>
      </c>
      <c r="B14" s="1835">
        <f>SUM(Budget!F7:F13)</f>
        <v>165.09916666666666</v>
      </c>
      <c r="C14" s="1822">
        <f>B14*Print_Summary!$I$2</f>
        <v>165099.16666666666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74.310366666666667</v>
      </c>
    </row>
    <row r="15" spans="1:9" ht="13.9" x14ac:dyDescent="0.4">
      <c r="A15" s="1834" t="s">
        <v>494</v>
      </c>
      <c r="B15" s="1835">
        <f>SUM(Budget!F14:F18)</f>
        <v>173.88968749999998</v>
      </c>
      <c r="C15" s="1822">
        <f>B15*Print_Summary!$I$2</f>
        <v>173889.68749999997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-35.162812500000001</v>
      </c>
    </row>
    <row r="16" spans="1:9" ht="13.9" x14ac:dyDescent="0.4">
      <c r="A16" s="1834" t="s">
        <v>225</v>
      </c>
      <c r="B16" s="1835">
        <f>SUM(Budget!F20:F23)</f>
        <v>124.5</v>
      </c>
      <c r="C16" s="1822">
        <f>B16*Print_Summary!$I$2</f>
        <v>124500</v>
      </c>
      <c r="D16" s="1845"/>
      <c r="E16" s="1097">
        <f>(Budget!D20*Budget!E20)+(Budget!D21*Budget!E21)+(Budget!D22*Budget!E22)+(Budget!D23*Budget!E23)-B16</f>
        <v>0</v>
      </c>
      <c r="F16" s="1821">
        <f>E16*Print_Summary!$I$2</f>
        <v>0</v>
      </c>
      <c r="G16" s="4"/>
      <c r="H16" s="1097">
        <v>14</v>
      </c>
      <c r="I16" s="1097">
        <f>B16+E16-H16</f>
        <v>110.5</v>
      </c>
    </row>
    <row r="17" spans="1:9" ht="13.9" x14ac:dyDescent="0.4">
      <c r="A17" s="1834" t="s">
        <v>462</v>
      </c>
      <c r="B17" s="1835">
        <f>Budget!F25+Budget!F27</f>
        <v>17.131385983811342</v>
      </c>
      <c r="C17" s="1822">
        <f>B17*Print_Summary!$I$2</f>
        <v>17131.385983811342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-10.935477765085679</v>
      </c>
    </row>
    <row r="18" spans="1:9" ht="13.9" x14ac:dyDescent="0.4">
      <c r="A18" s="1834" t="s">
        <v>227</v>
      </c>
      <c r="B18" s="1835">
        <f>Budget!F29</f>
        <v>34.86698941353383</v>
      </c>
      <c r="C18" s="1822">
        <f>B18*Print_Summary!$I$2</f>
        <v>34866.989413533833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-0.28347145864662338</v>
      </c>
    </row>
    <row r="19" spans="1:9" ht="13.9" x14ac:dyDescent="0.4">
      <c r="A19" s="1834" t="s">
        <v>780</v>
      </c>
      <c r="B19" s="1835">
        <f>Budget!F31+Budget!F32</f>
        <v>35.85</v>
      </c>
      <c r="C19" s="1822">
        <f>B19*Print_Summary!$I$2</f>
        <v>35850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32.4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664.38722956401182</v>
      </c>
      <c r="C20" s="1827">
        <f>B20*Print_Summary!$I$2</f>
        <v>664387.2295640118</v>
      </c>
      <c r="D20" s="1845"/>
      <c r="E20" s="1099">
        <f>SUM(E13:E19)</f>
        <v>0</v>
      </c>
      <c r="F20" s="1827">
        <f>E20*Print_Summary!$I$2</f>
        <v>0</v>
      </c>
      <c r="G20" s="4"/>
      <c r="H20" s="1099">
        <v>500.68362462107746</v>
      </c>
      <c r="I20" s="1099">
        <f t="shared" si="1"/>
        <v>163.70360494293436</v>
      </c>
    </row>
    <row r="21" spans="1:9" ht="13.9" x14ac:dyDescent="0.4">
      <c r="A21" s="1834" t="s">
        <v>778</v>
      </c>
      <c r="B21" s="1835">
        <f>Budget!F34+Budget!F35</f>
        <v>13</v>
      </c>
      <c r="C21" s="1822">
        <f>B21*Print_Summary!$I$2</f>
        <v>13000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-11</v>
      </c>
    </row>
    <row r="22" spans="1:9" ht="13.9" x14ac:dyDescent="0.4">
      <c r="A22" s="1834" t="s">
        <v>1</v>
      </c>
      <c r="B22" s="1835">
        <f>Budget!F36</f>
        <v>28</v>
      </c>
      <c r="C22" s="1822">
        <f>B22*Print_Summary!$I$2</f>
        <v>28000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28</v>
      </c>
    </row>
    <row r="23" spans="1:9" ht="15.4" x14ac:dyDescent="0.4">
      <c r="A23" s="1834" t="s">
        <v>750</v>
      </c>
      <c r="B23" s="1835">
        <f>Budget!F26+Budget!F28+Budget!F30</f>
        <v>34.378319648678698</v>
      </c>
      <c r="C23" s="1822">
        <f>B23*Print_Summary!$I$2</f>
        <v>34378.319648678698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1.3540758446252212</v>
      </c>
    </row>
    <row r="24" spans="1:9" ht="15" customHeight="1" x14ac:dyDescent="0.4">
      <c r="A24" s="1834" t="s">
        <v>214</v>
      </c>
      <c r="B24" s="1835">
        <f>Budget!F33</f>
        <v>19.11872079042649</v>
      </c>
      <c r="C24" s="1822">
        <f>B24*Print_Summary!$I$2</f>
        <v>19118.720790426491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-4.2091250340524979</v>
      </c>
    </row>
    <row r="25" spans="1:9" ht="15" customHeight="1" x14ac:dyDescent="0.4">
      <c r="A25" s="1825" t="s">
        <v>640</v>
      </c>
      <c r="B25" s="1836">
        <f>SUM(Budget!F6:F18)+SUM(Budget!F20:F23)+SUM(Budget!F25:F36)</f>
        <v>758.88427000311697</v>
      </c>
      <c r="C25" s="1829">
        <f>B25*Print_Summary!$I$2</f>
        <v>758884.27000311692</v>
      </c>
      <c r="D25" s="1849"/>
      <c r="E25" s="1099">
        <f>SUM(E13:E19)+SUM(E23:E24)</f>
        <v>0</v>
      </c>
      <c r="F25" s="1827">
        <f>E25*Print_Summary!$I$2</f>
        <v>0</v>
      </c>
      <c r="G25" s="4"/>
      <c r="H25" s="1099">
        <v>581.0357142496099</v>
      </c>
      <c r="I25" s="1099">
        <f t="shared" si="1"/>
        <v>177.84855575350707</v>
      </c>
    </row>
    <row r="26" spans="1:9" ht="13.9" x14ac:dyDescent="0.4">
      <c r="A26" s="1834" t="s">
        <v>28</v>
      </c>
      <c r="B26" s="1835">
        <f>Budget!F37</f>
        <v>31.30397613762857</v>
      </c>
      <c r="C26" s="1822">
        <f>B26*Print_Summary!$I$2</f>
        <v>31303.976137628571</v>
      </c>
      <c r="D26" s="1845"/>
      <c r="E26" s="1097">
        <f>((Budget!D37/100)*Program_Variables!D34)*(E20+E25)</f>
        <v>0</v>
      </c>
      <c r="F26" s="1821">
        <f>E26*Print_Summary!$I$2</f>
        <v>0</v>
      </c>
      <c r="G26" s="4"/>
      <c r="H26" s="1097">
        <v>13.799598213428238</v>
      </c>
      <c r="I26" s="1097">
        <f t="shared" si="1"/>
        <v>17.504377924200334</v>
      </c>
    </row>
    <row r="27" spans="1:9" ht="13.9" x14ac:dyDescent="0.4">
      <c r="A27" s="1834" t="s">
        <v>228</v>
      </c>
      <c r="B27" s="1835">
        <f>SUM(Budget!F39:F43)</f>
        <v>179.82</v>
      </c>
      <c r="C27" s="1822">
        <f>B27*Print_Summary!$I$2</f>
        <v>179820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35.039999999999992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Operating Expenses</v>
      </c>
      <c r="B29" s="1836">
        <f>SUM(B13:B19)+SUM(B21:B24)+SUM(B26:B28)-IF(A2_Budget_Look_Up!B7=1,B10,0)</f>
        <v>790.1882461407456</v>
      </c>
      <c r="C29" s="1829">
        <f>B29*Print_Summary!$I$2</f>
        <v>790188.24614074558</v>
      </c>
      <c r="D29" s="1849"/>
      <c r="E29" s="1099">
        <f>SUM(E13:E19)+SUM(E21:E24)+SUM(E26:E28)-IF(A2_Budget_Look_Up!B7=1,E10,0)</f>
        <v>0</v>
      </c>
      <c r="F29" s="1827">
        <f>E29*Print_Summary!$I$2</f>
        <v>0</v>
      </c>
      <c r="G29" s="4"/>
      <c r="H29" s="1099">
        <v>594.83531246303824</v>
      </c>
      <c r="I29" s="1099">
        <f t="shared" si="1"/>
        <v>195.35293367770737</v>
      </c>
    </row>
    <row r="30" spans="1:9" ht="13.9" x14ac:dyDescent="0.4">
      <c r="A30" s="1825" t="s">
        <v>233</v>
      </c>
      <c r="B30" s="1826">
        <f>B9-B29-B31</f>
        <v>37.811753859254281</v>
      </c>
      <c r="C30" s="1829">
        <f>B30*Print_Summary!$I$2</f>
        <v>37811.753859254284</v>
      </c>
      <c r="D30" s="1849"/>
      <c r="E30" s="173">
        <f>E9+E31-E29</f>
        <v>0</v>
      </c>
      <c r="F30" s="1827">
        <f>E30*Print_Summary!$I$2</f>
        <v>0</v>
      </c>
      <c r="G30" s="4"/>
      <c r="H30" s="173">
        <v>185.16468753696176</v>
      </c>
      <c r="I30" s="173">
        <f t="shared" si="1"/>
        <v>-147.35293367770748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213.51159530605307</v>
      </c>
      <c r="C32" s="1822">
        <f>B32*Print_Summary!$I$2</f>
        <v>213511.59530605306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34.916605367929037</v>
      </c>
    </row>
    <row r="33" spans="1:9" ht="13.9" x14ac:dyDescent="0.4">
      <c r="A33" s="1825" t="s">
        <v>650</v>
      </c>
      <c r="B33" s="1836">
        <f>B29+B32</f>
        <v>1003.6998414467987</v>
      </c>
      <c r="C33" s="1829">
        <f>B33*Print_Summary!$I$2</f>
        <v>1003699.8414467986</v>
      </c>
      <c r="D33" s="1849"/>
      <c r="E33" s="1099">
        <f>E29+E32</f>
        <v>0</v>
      </c>
      <c r="F33" s="1827">
        <f>E33*Print_Summary!$I$2</f>
        <v>0</v>
      </c>
      <c r="G33" s="4"/>
      <c r="H33" s="1099">
        <v>773.43030240116229</v>
      </c>
      <c r="I33" s="1099">
        <f t="shared" si="1"/>
        <v>230.26953904563641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-175.69984144679881</v>
      </c>
      <c r="C34" s="1829">
        <f>B34*Print_Summary!$I$2</f>
        <v>-175699.84144679882</v>
      </c>
      <c r="D34" s="1849"/>
      <c r="E34" s="173">
        <f>E9+E31-E33</f>
        <v>0</v>
      </c>
      <c r="F34" s="1827">
        <f>E34*Print_Summary!$I$2</f>
        <v>0</v>
      </c>
      <c r="G34" s="4"/>
      <c r="H34" s="173">
        <v>6.5696975988377062</v>
      </c>
      <c r="I34" s="173">
        <f t="shared" si="1"/>
        <v>-182.26953904563652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Expenses/lb.</v>
      </c>
      <c r="B36" s="1097">
        <f>B29/B6</f>
        <v>0.65849020511728795</v>
      </c>
      <c r="C36" s="1097">
        <f>C29/C6</f>
        <v>0.65849020511728795</v>
      </c>
      <c r="D36" s="1846"/>
      <c r="E36" s="1097">
        <f>MAX(E29,0)/E6</f>
        <v>0</v>
      </c>
      <c r="F36" s="1823">
        <f>MAX(F29,0)/F6</f>
        <v>0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Expenses/lb.</v>
      </c>
      <c r="B37" s="1839">
        <f>B33/B6</f>
        <v>0.83641653453899889</v>
      </c>
      <c r="C37" s="1839">
        <f>C33/C6</f>
        <v>0.83641653453899889</v>
      </c>
      <c r="D37" s="1846"/>
      <c r="E37" s="1839">
        <f>MAX(E33,0)/E6</f>
        <v>0</v>
      </c>
      <c r="F37" s="1840">
        <f>MAX(F33,0)/F6</f>
        <v>0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-3.9044409210399735E-2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34. 2026 Cotton Enterprise Budget, ThryvOn, Furrow Irrigation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Lbs</v>
      </c>
      <c r="D3" s="398">
        <f>A3_Production_Look_Up!B4</f>
        <v>1200</v>
      </c>
      <c r="E3" s="1258">
        <f>A3_Production_Look_Up!B5</f>
        <v>0.69</v>
      </c>
      <c r="F3" s="9">
        <f>IF('C1_Messages_Indicators'!B3=1,(D3*E3*B3),"Error")</f>
        <v>827.99999999999989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>Cottonseed Value</v>
      </c>
      <c r="B4" s="1512">
        <f>IF(A2_Budget_Look_Up!B7=1,Seed_Chemical!I5," ")</f>
        <v>1</v>
      </c>
      <c r="C4" s="8" t="str">
        <f>IF(A2_Budget_Look_Up!B7=1,'C1_Messages_Indicators'!B14," ")</f>
        <v>Ton</v>
      </c>
      <c r="D4" s="15">
        <f>IF(A2_Budget_Look_Up!B7=1,'C1_Messages_Indicators'!B15," ")</f>
        <v>0.9</v>
      </c>
      <c r="E4" s="10">
        <f>IF(AND(A2_Budget_Look_Up!B7=1,Seed_Chemical!I7=0,Seed_Chemical!I8=0,D3&gt;0),SUM(F40:F42)/D4,'C1_Messages_Indicators'!B18)</f>
        <v>199.79999999999998</v>
      </c>
      <c r="F4" s="9">
        <f>IF(A2_Budget_Look_Up!B7=1,D4*E4*B4," ")</f>
        <v>179.82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Fees; See Note 2</v>
      </c>
      <c r="B6" s="33">
        <v>1</v>
      </c>
      <c r="C6" s="14" t="str">
        <f>Seed_Chemical!C4</f>
        <v>Thous</v>
      </c>
      <c r="D6" s="552">
        <f>Seed_Chemical!E4</f>
        <v>47.5</v>
      </c>
      <c r="E6" s="10">
        <f>Seed_Chemical!D4</f>
        <v>2.38</v>
      </c>
      <c r="F6" s="9">
        <f t="shared" ref="F6:F11" si="0">D6*E6*B6</f>
        <v>113.05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275</v>
      </c>
      <c r="E7" s="10">
        <f>Fertilizer!E3</f>
        <v>0.28083333333333332</v>
      </c>
      <c r="F7" s="9">
        <f t="shared" si="0"/>
        <v>77.229166666666657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100</v>
      </c>
      <c r="E8" s="10">
        <f>Fertilizer!E4</f>
        <v>0.40500000000000003</v>
      </c>
      <c r="F8" s="9">
        <f t="shared" si="0"/>
        <v>40.5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100</v>
      </c>
      <c r="E9" s="10">
        <f>Fertilizer!E5</f>
        <v>0.22</v>
      </c>
      <c r="F9" s="9">
        <f t="shared" si="0"/>
        <v>22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50</v>
      </c>
      <c r="E10" s="10">
        <f>Fertilizer!E6</f>
        <v>0.26750000000000002</v>
      </c>
      <c r="F10" s="9">
        <f t="shared" si="0"/>
        <v>13.375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1</v>
      </c>
      <c r="E11" s="10">
        <f>Fertilizer!E7</f>
        <v>0.72</v>
      </c>
      <c r="F11" s="9">
        <f t="shared" si="0"/>
        <v>0.72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0.13750000000000001</v>
      </c>
      <c r="E12" s="10">
        <f>Fertilizer!E8</f>
        <v>82</v>
      </c>
      <c r="F12" s="9">
        <f>D12*E12*B12</f>
        <v>11.275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112.36137499999998</v>
      </c>
      <c r="F14" s="9">
        <f t="shared" si="1"/>
        <v>112.36137499999998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38.165624999999999</v>
      </c>
      <c r="F15" s="9">
        <f t="shared" si="1"/>
        <v>38.165624999999999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Nematicide</v>
      </c>
      <c r="B16" s="33">
        <v>1</v>
      </c>
      <c r="C16" s="8" t="s">
        <v>4</v>
      </c>
      <c r="D16" s="8">
        <v>1</v>
      </c>
      <c r="E16" s="10">
        <f>Seed_Chemical!F46</f>
        <v>0</v>
      </c>
      <c r="F16" s="9">
        <f t="shared" si="1"/>
        <v>0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Growth Regulator</v>
      </c>
      <c r="B17" s="33">
        <v>1</v>
      </c>
      <c r="C17" s="8" t="s">
        <v>4</v>
      </c>
      <c r="D17" s="8">
        <v>1</v>
      </c>
      <c r="E17" s="10">
        <f>Seed_Chemical!F57</f>
        <v>3.7845624999999998</v>
      </c>
      <c r="F17" s="9">
        <f t="shared" si="1"/>
        <v>3.7845624999999998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Defoliant</v>
      </c>
      <c r="B18" s="33">
        <v>1</v>
      </c>
      <c r="C18" s="8" t="s">
        <v>4</v>
      </c>
      <c r="D18" s="8">
        <v>1</v>
      </c>
      <c r="E18" s="10">
        <f>Seed_Chemical!F68</f>
        <v>19.578125</v>
      </c>
      <c r="F18" s="9">
        <f t="shared" si="1"/>
        <v>19.578125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11</v>
      </c>
      <c r="E20" s="2">
        <v>9.5</v>
      </c>
      <c r="F20" s="9">
        <f>D20*E20*B20</f>
        <v>104.5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2</v>
      </c>
      <c r="E21" s="2">
        <v>10</v>
      </c>
      <c r="F21" s="9">
        <f>D21*E21*B21</f>
        <v>20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0</v>
      </c>
      <c r="E22" s="2">
        <v>0.1</v>
      </c>
      <c r="F22" s="9">
        <f>ROUND(D22*E22*B22,-1)</f>
        <v>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3.5028576338657014</v>
      </c>
      <c r="E25" s="18">
        <f>Irrigation!B14</f>
        <v>2.46</v>
      </c>
      <c r="F25" s="9">
        <f t="shared" ref="F25:F36" si="2">D25*E25*B25</f>
        <v>8.6170297793096253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7.7400220950298984</v>
      </c>
      <c r="F26" s="9">
        <f t="shared" si="2"/>
        <v>7.7400220950298984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3.4611204083340312</v>
      </c>
      <c r="E27" s="18">
        <f>Irrigation!B14</f>
        <v>2.46</v>
      </c>
      <c r="F27" s="9">
        <f t="shared" si="2"/>
        <v>8.5143562045017163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22.118922553648794</v>
      </c>
      <c r="F28" s="9">
        <f t="shared" si="2"/>
        <v>22.118922553648794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12</v>
      </c>
      <c r="E29" s="10">
        <f>'C2_Irrigation_Calculations'!I26*'C1_Messages_Indicators'!B34</f>
        <v>2.9055824511278194</v>
      </c>
      <c r="F29" s="9">
        <f t="shared" si="2"/>
        <v>34.86698941353383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12</v>
      </c>
      <c r="E30" s="10">
        <f>IF(D29&gt;0,('C2_Irrigation_Calculations'!I33/D29),0)</f>
        <v>0.37661458333333336</v>
      </c>
      <c r="F30" s="9">
        <f>D30*E30</f>
        <v>4.5193750000000001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16.25</v>
      </c>
      <c r="F31" s="9">
        <f t="shared" si="2"/>
        <v>16.25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Round Module Cover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19.600000000000001</v>
      </c>
      <c r="F32" s="9">
        <f t="shared" si="2"/>
        <v>19.600000000000001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1.2891922313166884</v>
      </c>
      <c r="E33" s="316">
        <v>14.83</v>
      </c>
      <c r="F33" s="9">
        <f t="shared" si="2"/>
        <v>19.11872079042649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10</v>
      </c>
      <c r="F34" s="9">
        <f t="shared" si="2"/>
        <v>10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Boll Weevil Eradication Fee; See Note 3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3</v>
      </c>
      <c r="F35" s="9">
        <f t="shared" si="2"/>
        <v>3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28</v>
      </c>
      <c r="F36" s="9">
        <f t="shared" si="2"/>
        <v>28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758.88427000311685</v>
      </c>
      <c r="F37" s="9">
        <f>((D37/100)*Program_Variables!D34)*SUM(F6:F36)*B37</f>
        <v>31.30397613762857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>Post-Harvest Expenses; See Note 4</v>
      </c>
      <c r="B39" s="1512" t="str">
        <f>IF(A2_Budget_Look_Up!B13&gt;0,1," ")</f>
        <v xml:space="preserve"> </v>
      </c>
      <c r="C39" s="8" t="str">
        <f>IF(A2_Budget_Look_Up!B13=1,"Tons"," ")</f>
        <v xml:space="preserve"> </v>
      </c>
      <c r="D39" s="15" t="str">
        <f>IF(A2_Budget_Look_Up!B13=1,D3," ")</f>
        <v xml:space="preserve"> </v>
      </c>
      <c r="E39" s="15" t="str">
        <f>IF(A2_Budget_Look_Up!B13&gt;0,Program_Variables!D46," ")</f>
        <v xml:space="preserve"> </v>
      </c>
      <c r="F39" s="9" t="str">
        <f>IF(A2_Budget_Look_Up!B13&gt;0,D39*E39*B39," ")</f>
        <v xml:space="preserve"> 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Hauling, Ginning</v>
      </c>
      <c r="B40" s="33">
        <v>1</v>
      </c>
      <c r="C40" s="8" t="str">
        <f>IF(A2_Budget_Look_Up!B7=1,"Lbs",'C1_Messages_Indicators'!B25)</f>
        <v>Lbs</v>
      </c>
      <c r="D40" s="10">
        <f>IF(A2_Budget_Look_Up!B13&lt;1,Program_Variables!E40,D3*B40)</f>
        <v>1200</v>
      </c>
      <c r="E40" s="2">
        <f>A3_Production_Look_Up!B37</f>
        <v>0.1</v>
      </c>
      <c r="F40" s="9">
        <f>D40*E40*B40</f>
        <v>120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Storage and Warehousing</v>
      </c>
      <c r="B41" s="33">
        <v>1</v>
      </c>
      <c r="C41" s="8" t="str">
        <f>IF(A2_Budget_Look_Up!B7=1,"Bale",'C1_Messages_Indicators'!I25)</f>
        <v>Bale</v>
      </c>
      <c r="D41" s="15">
        <f>IF(A2_Budget_Look_Up!B7=1,D40/Program_Variables!C36,'C1_Messages_Indicators'!B30)</f>
        <v>2.4</v>
      </c>
      <c r="E41" s="2">
        <f>A3_Production_Look_Up!B38</f>
        <v>20</v>
      </c>
      <c r="F41" s="9">
        <f>D41*E41*B41</f>
        <v>48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Promotions, Boards, Classing</v>
      </c>
      <c r="B42" s="33">
        <v>1</v>
      </c>
      <c r="C42" s="8" t="str">
        <f>IF(A2_Budget_Look_Up!B7=1,"Bale",'C1_Messages_Indicators'!I26)</f>
        <v>Bale</v>
      </c>
      <c r="D42" s="15">
        <f>IF(AND(A2_Budget_Look_Up!B13&lt;1,A2_Budget_Look_Up!B14&lt;1),'C1_Messages_Indicators'!B24,'C1_Messages_Indicators'!B31)</f>
        <v>2.4</v>
      </c>
      <c r="E42" s="1963">
        <f>A3_Production_Look_Up!B39</f>
        <v>4.9249999999999998</v>
      </c>
      <c r="F42" s="9">
        <f>D42*E42*B42</f>
        <v>11.819999999999999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</v>
      </c>
      <c r="B43" s="1512" t="str">
        <f>IF(OR(A2_Budget_Look_Up!B13&gt;0,A2_Budget_Look_Up!B14&gt;0),1," ")</f>
        <v xml:space="preserve"> </v>
      </c>
      <c r="C43" s="8" t="str">
        <f>IF(A2_Budget_Look_Up!B13&gt;0,"Dollars",IF(A2_Budget_Look_Up!B14&gt;0,Program_Variables!D44," "))</f>
        <v xml:space="preserve"> </v>
      </c>
      <c r="D43" s="15" t="str">
        <f>IF(A2_Budget_Look_Up!B13&gt;0,Program_Variables!H47*Budget!D3,IF(A2_Budget_Look_Up!B14&gt;0,Program_Variables!E44," "))</f>
        <v xml:space="preserve"> </v>
      </c>
      <c r="E43" s="10" t="str">
        <f>IF(A2_Budget_Look_Up!B13&gt;0,IF(Program_Variables!D47&gt;0,Program_Variables!F47,0),IF(A2_Budget_Look_Up!B14&gt;0,Program_Variables!G44," "))</f>
        <v xml:space="preserve"> </v>
      </c>
      <c r="F43" s="9" t="str">
        <f>IF(OR(A2_Budget_Look_Up!B13&gt;0,A2_Budget_Look_Up!B14&gt;0),D43*E43*B43," ")</f>
        <v xml:space="preserve"> 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790.18824614074538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37.811753859254509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167.00534401546685</v>
      </c>
      <c r="F48" s="9">
        <f>D48*E48</f>
        <v>167.00534401546685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38.155984089812883</v>
      </c>
      <c r="F49" s="9">
        <f>D49*E49</f>
        <v>38.155984089812883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>Farm Overhead; See Note 5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8.3502672007733434</v>
      </c>
      <c r="F50" s="9">
        <f>D50*E50</f>
        <v>8.3502672007733434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213.51159530605307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1003.6998414467985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-175.69984144679859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Technology fees vary by geographical location.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>Note 3: Boll weevil eradication fee is $3 in Arkansas.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>Note 4: Cottonseed value deducted from post-harvest expenses for calculating operating expenses.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>Note 5: Estimate based on machinery and equipment.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275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100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275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100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50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1</v>
      </c>
      <c r="E7" s="1890">
        <f>Program_Variables!E10</f>
        <v>0.72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0.13750000000000001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0.61050724637681153</v>
      </c>
      <c r="J8" s="1891">
        <f>(J4*H4)+J5+(J6*H6)+(J7*H7)</f>
        <v>126.5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activeCell="H12" sqref="H12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Thous</v>
      </c>
      <c r="D4" s="1585">
        <f>A3_Production_Look_Up!B43</f>
        <v>2.38</v>
      </c>
      <c r="E4" s="1586">
        <f>A3_Production_Look_Up!B45</f>
        <v>47.5</v>
      </c>
      <c r="F4" s="1587">
        <f>D4*E4</f>
        <v>113.05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Thous</v>
      </c>
      <c r="D5" s="1585">
        <f>A3_Production_Look_Up!B44</f>
        <v>0</v>
      </c>
      <c r="E5" s="1586">
        <f>A3_Production_Look_Up!B46</f>
        <v>47.5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113.05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Roundup Powermax 3</v>
      </c>
      <c r="B12" s="1602" t="str">
        <f>IF(A5_Chem_Look_Up!$F6&gt;0,A5_Chem_Look_Up!B6," ")</f>
        <v/>
      </c>
      <c r="C12" s="1603" t="str">
        <f>IF(A5_Chem_Look_Up!$F6&gt;0,A5_Chem_Look_Up!C6," ")</f>
        <v>pt</v>
      </c>
      <c r="D12" s="1601">
        <f>IF(A5_Chem_Look_Up!$F6&gt;0,A5_Chem_Look_Up!D6,0)</f>
        <v>2.25</v>
      </c>
      <c r="E12" s="1586">
        <f>IF(A5_Chem_Look_Up!$F6&gt;0,A5_Chem_Look_Up!E6,0)</f>
        <v>2</v>
      </c>
      <c r="F12" s="1587">
        <f>D12*E12</f>
        <v>4.5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2,4-D</v>
      </c>
      <c r="B13" s="1602" t="str">
        <f>IF(A5_Chem_Look_Up!$F7&gt;0,A5_Chem_Look_Up!B7," ")</f>
        <v/>
      </c>
      <c r="C13" s="1605" t="str">
        <f>IF(A5_Chem_Look_Up!$F7&gt;0,A5_Chem_Look_Up!C7," ")</f>
        <v>pt</v>
      </c>
      <c r="D13" s="1601">
        <f>IF(A5_Chem_Look_Up!$F7&gt;0,A5_Chem_Look_Up!D7,0)</f>
        <v>4.375</v>
      </c>
      <c r="E13" s="1586">
        <f>IF(A5_Chem_Look_Up!$F7&gt;0,A5_Chem_Look_Up!E7,0)</f>
        <v>1.5</v>
      </c>
      <c r="F13" s="1587">
        <f t="shared" ref="F13:F25" si="0">D13*E13</f>
        <v>6.5625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Brake</v>
      </c>
      <c r="B14" s="1602" t="str">
        <f>IF(A5_Chem_Look_Up!$F8&gt;0,A5_Chem_Look_Up!B8," ")</f>
        <v/>
      </c>
      <c r="C14" s="1603" t="str">
        <f>IF(A5_Chem_Look_Up!$F8&gt;0,A5_Chem_Look_Up!C8," ")</f>
        <v>pt</v>
      </c>
      <c r="D14" s="1601">
        <f>IF(A5_Chem_Look_Up!$F8&gt;0,A5_Chem_Look_Up!D8,0)</f>
        <v>25.5</v>
      </c>
      <c r="E14" s="1586">
        <f>IF(A5_Chem_Look_Up!$F8&gt;0,A5_Chem_Look_Up!E8,0)</f>
        <v>1</v>
      </c>
      <c r="F14" s="1587">
        <f t="shared" si="0"/>
        <v>25.5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Cotoran</v>
      </c>
      <c r="B15" s="1602" t="str">
        <f>IF(A5_Chem_Look_Up!$F9&gt;0,A5_Chem_Look_Up!B9," ")</f>
        <v/>
      </c>
      <c r="C15" s="1605" t="str">
        <f>IF(A5_Chem_Look_Up!$F9&gt;0,A5_Chem_Look_Up!C9," ")</f>
        <v>pt</v>
      </c>
      <c r="D15" s="1601">
        <f>IF(A5_Chem_Look_Up!$F9&gt;0,A5_Chem_Look_Up!D9,0)</f>
        <v>2.5</v>
      </c>
      <c r="E15" s="1586">
        <f>IF(A5_Chem_Look_Up!$F9&gt;0,A5_Chem_Look_Up!E9,0)</f>
        <v>1.6</v>
      </c>
      <c r="F15" s="1587">
        <f t="shared" si="0"/>
        <v>4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Liberty</v>
      </c>
      <c r="B16" s="1602" t="str">
        <f>IF(A5_Chem_Look_Up!$F10&gt;0,A5_Chem_Look_Up!B10," ")</f>
        <v/>
      </c>
      <c r="C16" s="1603" t="str">
        <f>IF(A5_Chem_Look_Up!$F10&gt;0,A5_Chem_Look_Up!C10," ")</f>
        <v>oz</v>
      </c>
      <c r="D16" s="1601">
        <f>IF(A5_Chem_Look_Up!$F10&gt;0,A5_Chem_Look_Up!D10,0)</f>
        <v>0.28875000000000001</v>
      </c>
      <c r="E16" s="1586">
        <f>IF(A5_Chem_Look_Up!$F10&gt;0,A5_Chem_Look_Up!E10,0)</f>
        <v>32</v>
      </c>
      <c r="F16" s="1587">
        <f t="shared" si="0"/>
        <v>9.24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>Outlook</v>
      </c>
      <c r="B17" s="1602" t="str">
        <f>IF(A5_Chem_Look_Up!$F11&gt;0,A5_Chem_Look_Up!B11," ")</f>
        <v/>
      </c>
      <c r="C17" s="1603" t="str">
        <f>IF(A5_Chem_Look_Up!$F11&gt;0,A5_Chem_Look_Up!C11," ")</f>
        <v>oz</v>
      </c>
      <c r="D17" s="1601">
        <f>IF(A5_Chem_Look_Up!$F11&gt;0,A5_Chem_Look_Up!D11,0)</f>
        <v>0.84234374999999995</v>
      </c>
      <c r="E17" s="1586">
        <f>IF(A5_Chem_Look_Up!$F11&gt;0,A5_Chem_Look_Up!E11,0)</f>
        <v>12.8</v>
      </c>
      <c r="F17" s="1587">
        <f t="shared" si="0"/>
        <v>10.782</v>
      </c>
      <c r="G17" s="20"/>
    </row>
    <row r="18" spans="1:10" ht="12.95" customHeight="1" x14ac:dyDescent="0.35">
      <c r="A18" s="1601" t="str">
        <f>IF(A5_Chem_Look_Up!$F12&gt;0,A5_Chem_Look_Up!A12," ")</f>
        <v>Liberty</v>
      </c>
      <c r="B18" s="1602" t="str">
        <f>IF(A5_Chem_Look_Up!$F12&gt;0,A5_Chem_Look_Up!B12," ")</f>
        <v/>
      </c>
      <c r="C18" s="1603" t="str">
        <f>IF(A5_Chem_Look_Up!$F12&gt;0,A5_Chem_Look_Up!C12," ")</f>
        <v>oz</v>
      </c>
      <c r="D18" s="1601">
        <f>IF(A5_Chem_Look_Up!$F12&gt;0,A5_Chem_Look_Up!D12,0)</f>
        <v>0.28875000000000001</v>
      </c>
      <c r="E18" s="1586">
        <f>IF(A5_Chem_Look_Up!$F12&gt;0,A5_Chem_Look_Up!E12,0)</f>
        <v>32</v>
      </c>
      <c r="F18" s="1587">
        <f t="shared" si="0"/>
        <v>9.24</v>
      </c>
      <c r="G18" s="20"/>
      <c r="H18" s="989"/>
    </row>
    <row r="19" spans="1:10" ht="12.95" customHeight="1" x14ac:dyDescent="0.35">
      <c r="A19" s="1601" t="str">
        <f>IF(A5_Chem_Look_Up!$F13&gt;0,A5_Chem_Look_Up!A13," ")</f>
        <v>Metolachlor</v>
      </c>
      <c r="B19" s="1602" t="str">
        <f>IF(A5_Chem_Look_Up!$F13&gt;0,A5_Chem_Look_Up!B13," ")</f>
        <v/>
      </c>
      <c r="C19" s="1603" t="str">
        <f>IF(A5_Chem_Look_Up!$F13&gt;0,A5_Chem_Look_Up!C13," ")</f>
        <v>pt</v>
      </c>
      <c r="D19" s="1601">
        <f>IF(A5_Chem_Look_Up!$F13&gt;0,A5_Chem_Look_Up!D13,0)</f>
        <v>5.0387500000000003</v>
      </c>
      <c r="E19" s="1586">
        <f>IF(A5_Chem_Look_Up!$F13&gt;0,A5_Chem_Look_Up!E13,0)</f>
        <v>1</v>
      </c>
      <c r="F19" s="1587">
        <f t="shared" si="0"/>
        <v>5.0387500000000003</v>
      </c>
      <c r="G19" s="20"/>
      <c r="H19" s="989"/>
    </row>
    <row r="20" spans="1:10" ht="12.95" customHeight="1" x14ac:dyDescent="0.35">
      <c r="A20" s="1601" t="str">
        <f>IF(A5_Chem_Look_Up!$F14&gt;0,A5_Chem_Look_Up!A14," ")</f>
        <v>Liberty</v>
      </c>
      <c r="B20" s="1602" t="str">
        <f>IF(A5_Chem_Look_Up!$F14&gt;0,A5_Chem_Look_Up!B14," ")</f>
        <v/>
      </c>
      <c r="C20" s="1603" t="str">
        <f>IF(A5_Chem_Look_Up!$F14&gt;0,A5_Chem_Look_Up!C14," ")</f>
        <v>oz</v>
      </c>
      <c r="D20" s="1601">
        <f>IF(A5_Chem_Look_Up!$F14&gt;0,A5_Chem_Look_Up!D14,0)</f>
        <v>0.28875000000000001</v>
      </c>
      <c r="E20" s="1586">
        <f>IF(A5_Chem_Look_Up!$F14&gt;0,A5_Chem_Look_Up!E14,0)</f>
        <v>32</v>
      </c>
      <c r="F20" s="1587">
        <f t="shared" si="0"/>
        <v>9.24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>Direx</v>
      </c>
      <c r="B21" s="1602" t="str">
        <f>IF(A5_Chem_Look_Up!$F15&gt;0,A5_Chem_Look_Up!B15," ")</f>
        <v/>
      </c>
      <c r="C21" s="1603" t="str">
        <f>IF(A5_Chem_Look_Up!$F15&gt;0,A5_Chem_Look_Up!C15," ")</f>
        <v>pt</v>
      </c>
      <c r="D21" s="1601">
        <f>IF(A5_Chem_Look_Up!$F15&gt;0,A5_Chem_Look_Up!D15,0)</f>
        <v>4.4637500000000001</v>
      </c>
      <c r="E21" s="1586">
        <f>IF(A5_Chem_Look_Up!$F15&gt;0,A5_Chem_Look_Up!E15,0)</f>
        <v>1.5</v>
      </c>
      <c r="F21" s="1587">
        <f t="shared" si="0"/>
        <v>6.6956249999999997</v>
      </c>
      <c r="G21" s="20"/>
    </row>
    <row r="22" spans="1:10" ht="12.95" customHeight="1" x14ac:dyDescent="0.35">
      <c r="A22" s="1601" t="str">
        <f>IF(A5_Chem_Look_Up!$F16&gt;0,A5_Chem_Look_Up!A16," ")</f>
        <v>MSMA 6</v>
      </c>
      <c r="B22" s="1602" t="str">
        <f>IF(A5_Chem_Look_Up!$F16&gt;0,A5_Chem_Look_Up!B16," ")</f>
        <v/>
      </c>
      <c r="C22" s="1603" t="str">
        <f>IF(A5_Chem_Look_Up!$F16&gt;0,A5_Chem_Look_Up!C16," ")</f>
        <v>qt</v>
      </c>
      <c r="D22" s="1601">
        <f>IF(A5_Chem_Look_Up!$F16&gt;0,A5_Chem_Look_Up!D16,0)</f>
        <v>14.375</v>
      </c>
      <c r="E22" s="1586">
        <f>IF(A5_Chem_Look_Up!$F16&gt;0,A5_Chem_Look_Up!E16,0)</f>
        <v>1.5</v>
      </c>
      <c r="F22" s="1587">
        <f t="shared" si="0"/>
        <v>21.5625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112.36137499999998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>Centric</v>
      </c>
      <c r="B30" s="1602" t="str">
        <f>IF(A5_Chem_Look_Up!$F24&gt;0,A5_Chem_Look_Up!B24," ")</f>
        <v/>
      </c>
      <c r="C30" s="1603" t="str">
        <f>IF(A5_Chem_Look_Up!$F24&gt;0,A5_Chem_Look_Up!C24," ")</f>
        <v>oz</v>
      </c>
      <c r="D30" s="1601">
        <f>IF(A5_Chem_Look_Up!$F24&gt;0,A5_Chem_Look_Up!D24,0)</f>
        <v>5.95</v>
      </c>
      <c r="E30" s="1586">
        <f>IF(A5_Chem_Look_Up!$F24&gt;0,A5_Chem_Look_Up!E24,0)</f>
        <v>2</v>
      </c>
      <c r="F30" s="1587">
        <f t="shared" ref="F30:F39" si="1">D30*E30</f>
        <v>11.9</v>
      </c>
      <c r="G30" s="20"/>
    </row>
    <row r="31" spans="1:10" ht="12.95" customHeight="1" x14ac:dyDescent="0.35">
      <c r="A31" s="1601" t="str">
        <f>IF(A5_Chem_Look_Up!$F25&gt;0,A5_Chem_Look_Up!A25," ")</f>
        <v>Diamond</v>
      </c>
      <c r="B31" s="1602" t="str">
        <f>IF(A5_Chem_Look_Up!$F25&gt;0,A5_Chem_Look_Up!B25," ")</f>
        <v/>
      </c>
      <c r="C31" s="1603" t="str">
        <f>IF(A5_Chem_Look_Up!$F25&gt;0,A5_Chem_Look_Up!C25," ")</f>
        <v>oz</v>
      </c>
      <c r="D31" s="1601">
        <f>IF(A5_Chem_Look_Up!$F25&gt;0,A5_Chem_Look_Up!D25,0)</f>
        <v>1.1971354166666666</v>
      </c>
      <c r="E31" s="1586">
        <f>IF(A5_Chem_Look_Up!$F25&gt;0,A5_Chem_Look_Up!E25,0)</f>
        <v>6</v>
      </c>
      <c r="F31" s="1587">
        <f t="shared" si="1"/>
        <v>7.1828124999999989</v>
      </c>
      <c r="G31" s="20"/>
    </row>
    <row r="32" spans="1:10" ht="12.95" customHeight="1" x14ac:dyDescent="0.35">
      <c r="A32" s="1601" t="str">
        <f>IF(A5_Chem_Look_Up!$F26&gt;0,A5_Chem_Look_Up!A26," ")</f>
        <v>Centric</v>
      </c>
      <c r="B32" s="1602" t="str">
        <f>IF(A5_Chem_Look_Up!$F26&gt;0,A5_Chem_Look_Up!B26," ")</f>
        <v/>
      </c>
      <c r="C32" s="1603" t="str">
        <f>IF(A5_Chem_Look_Up!$F26&gt;0,A5_Chem_Look_Up!C26," ")</f>
        <v>oz</v>
      </c>
      <c r="D32" s="1601">
        <f>IF(A5_Chem_Look_Up!$F26&gt;0,A5_Chem_Look_Up!D26,0)</f>
        <v>5.95</v>
      </c>
      <c r="E32" s="1586">
        <f>IF(A5_Chem_Look_Up!$F26&gt;0,A5_Chem_Look_Up!E26,0)</f>
        <v>2</v>
      </c>
      <c r="F32" s="1587">
        <f t="shared" si="1"/>
        <v>11.9</v>
      </c>
      <c r="G32" s="20"/>
    </row>
    <row r="33" spans="1:7" ht="12.95" customHeight="1" x14ac:dyDescent="0.35">
      <c r="A33" s="1601" t="str">
        <f>IF(A5_Chem_Look_Up!$F27&gt;0,A5_Chem_Look_Up!A27," ")</f>
        <v>Diamond</v>
      </c>
      <c r="B33" s="1602" t="str">
        <f>IF(A5_Chem_Look_Up!$F27&gt;0,A5_Chem_Look_Up!B27," ")</f>
        <v/>
      </c>
      <c r="C33" s="1603" t="str">
        <f>IF(A5_Chem_Look_Up!$F27&gt;0,A5_Chem_Look_Up!C27," ")</f>
        <v>oz</v>
      </c>
      <c r="D33" s="1601">
        <f>IF(A5_Chem_Look_Up!$F27&gt;0,A5_Chem_Look_Up!D27,0)</f>
        <v>1.1971354166666666</v>
      </c>
      <c r="E33" s="1586">
        <f>IF(A5_Chem_Look_Up!$F27&gt;0,A5_Chem_Look_Up!E27,0)</f>
        <v>6</v>
      </c>
      <c r="F33" s="1587">
        <f t="shared" si="1"/>
        <v>7.1828124999999989</v>
      </c>
      <c r="G33" s="20"/>
    </row>
    <row r="34" spans="1:7" ht="12.95" customHeight="1" x14ac:dyDescent="0.35">
      <c r="A34" s="1601" t="str">
        <f>IF(A5_Chem_Look_Up!$F28&gt;0,A5_Chem_Look_Up!A28," ")</f>
        <v xml:space="preserve"> </v>
      </c>
      <c r="B34" s="1602" t="str">
        <f>IF(A5_Chem_Look_Up!$F28&gt;0,A5_Chem_Look_Up!B28," ")</f>
        <v xml:space="preserve"> </v>
      </c>
      <c r="C34" s="1603" t="str">
        <f>IF(A5_Chem_Look_Up!$F28&gt;0,A5_Chem_Look_Up!C28," ")</f>
        <v xml:space="preserve"> </v>
      </c>
      <c r="D34" s="1601">
        <f>IF(A5_Chem_Look_Up!$F28&gt;0,A5_Chem_Look_Up!D28,0)</f>
        <v>0</v>
      </c>
      <c r="E34" s="1586">
        <f>IF(A5_Chem_Look_Up!$F28&gt;0,A5_Chem_Look_Up!E28,0)</f>
        <v>0</v>
      </c>
      <c r="F34" s="1587">
        <f t="shared" si="1"/>
        <v>0</v>
      </c>
      <c r="G34" s="20"/>
    </row>
    <row r="35" spans="1:7" ht="12.95" customHeight="1" x14ac:dyDescent="0.35">
      <c r="A35" s="1601" t="str">
        <f>IF(A5_Chem_Look_Up!$F29&gt;0,A5_Chem_Look_Up!A29," ")</f>
        <v xml:space="preserve"> </v>
      </c>
      <c r="B35" s="1602" t="str">
        <f>IF(A5_Chem_Look_Up!$F29&gt;0,A5_Chem_Look_Up!B29," ")</f>
        <v xml:space="preserve"> </v>
      </c>
      <c r="C35" s="1603" t="str">
        <f>IF(A5_Chem_Look_Up!$F29&gt;0,A5_Chem_Look_Up!C29," ")</f>
        <v xml:space="preserve"> </v>
      </c>
      <c r="D35" s="1601">
        <f>IF(A5_Chem_Look_Up!$F29&gt;0,A5_Chem_Look_Up!D29,0)</f>
        <v>0</v>
      </c>
      <c r="E35" s="1586">
        <f>IF(A5_Chem_Look_Up!$F29&gt;0,A5_Chem_Look_Up!E29,0)</f>
        <v>0</v>
      </c>
      <c r="F35" s="1587">
        <f t="shared" si="1"/>
        <v>0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38.165624999999999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Nematicide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 xml:space="preserve"> </v>
      </c>
      <c r="B44" s="1602" t="str">
        <f>IF(A5_Chem_Look_Up!$F38&gt;0,A5_Chem_Look_Up!B38," ")</f>
        <v xml:space="preserve"> </v>
      </c>
      <c r="C44" s="1605" t="str">
        <f>IF(A5_Chem_Look_Up!$F38&gt;0,A5_Chem_Look_Up!C38," ")</f>
        <v xml:space="preserve"> </v>
      </c>
      <c r="D44" s="1601">
        <f>IF(A5_Chem_Look_Up!$F38&gt;0,A5_Chem_Look_Up!D38,0)</f>
        <v>0</v>
      </c>
      <c r="E44" s="1586">
        <f>IF(A5_Chem_Look_Up!$F38&gt;0,A5_Chem_Look_Up!E38,0)</f>
        <v>0</v>
      </c>
      <c r="F44" s="1587">
        <f>D44*E44</f>
        <v>0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0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Growth Regulator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>Mepiquat</v>
      </c>
      <c r="B50" s="1602" t="str">
        <f>IF(A5_Chem_Look_Up!$F44&gt;0,A5_Chem_Look_Up!B44," ")</f>
        <v/>
      </c>
      <c r="C50" s="1605" t="str">
        <f>IF(A5_Chem_Look_Up!$F44&gt;0,A5_Chem_Look_Up!C44," ")</f>
        <v>oz</v>
      </c>
      <c r="D50" s="1601">
        <f>IF(A5_Chem_Look_Up!$F44&gt;0,A5_Chem_Look_Up!D44,0)</f>
        <v>4.9796874999999997E-2</v>
      </c>
      <c r="E50" s="1586">
        <f>IF(A5_Chem_Look_Up!$F44&gt;0,A5_Chem_Look_Up!E44,0)</f>
        <v>16</v>
      </c>
      <c r="F50" s="1587">
        <f t="shared" ref="F50:F56" si="2">D50*E50</f>
        <v>0.79674999999999996</v>
      </c>
      <c r="G50" s="20"/>
    </row>
    <row r="51" spans="1:7" ht="12.95" customHeight="1" x14ac:dyDescent="0.35">
      <c r="A51" s="1584" t="str">
        <f>IF(A5_Chem_Look_Up!$F45&gt;0,A5_Chem_Look_Up!A45," ")</f>
        <v>Mepiquat</v>
      </c>
      <c r="B51" s="1602" t="str">
        <f>IF(A5_Chem_Look_Up!$F45&gt;0,A5_Chem_Look_Up!B45," ")</f>
        <v/>
      </c>
      <c r="C51" s="1605" t="str">
        <f>IF(A5_Chem_Look_Up!$F45&gt;0,A5_Chem_Look_Up!C45," ")</f>
        <v>oz</v>
      </c>
      <c r="D51" s="1601">
        <f>IF(A5_Chem_Look_Up!$F45&gt;0,A5_Chem_Look_Up!D45,0)</f>
        <v>4.9796874999999997E-2</v>
      </c>
      <c r="E51" s="1586">
        <f>IF(A5_Chem_Look_Up!$F45&gt;0,A5_Chem_Look_Up!E45,0)</f>
        <v>20</v>
      </c>
      <c r="F51" s="1587">
        <f t="shared" si="2"/>
        <v>0.99593749999999992</v>
      </c>
      <c r="G51" s="20"/>
    </row>
    <row r="52" spans="1:7" ht="12.95" customHeight="1" x14ac:dyDescent="0.35">
      <c r="A52" s="1584" t="str">
        <f>IF(A5_Chem_Look_Up!$F46&gt;0,A5_Chem_Look_Up!A46," ")</f>
        <v>Mepiquat</v>
      </c>
      <c r="B52" s="1602" t="str">
        <f>IF(A5_Chem_Look_Up!$F46&gt;0,A5_Chem_Look_Up!B46," ")</f>
        <v/>
      </c>
      <c r="C52" s="1605" t="str">
        <f>IF(A5_Chem_Look_Up!$F46&gt;0,A5_Chem_Look_Up!C46," ")</f>
        <v>oz</v>
      </c>
      <c r="D52" s="1601">
        <f>IF(A5_Chem_Look_Up!$F46&gt;0,A5_Chem_Look_Up!D46,0)</f>
        <v>4.9796874999999997E-2</v>
      </c>
      <c r="E52" s="1586">
        <f>IF(A5_Chem_Look_Up!$F46&gt;0,A5_Chem_Look_Up!E46,0)</f>
        <v>20</v>
      </c>
      <c r="F52" s="1587">
        <f t="shared" si="2"/>
        <v>0.99593749999999992</v>
      </c>
      <c r="G52" s="20"/>
    </row>
    <row r="53" spans="1:7" ht="12.95" customHeight="1" x14ac:dyDescent="0.35">
      <c r="A53" s="1584" t="str">
        <f>IF(A5_Chem_Look_Up!$F47&gt;0,A5_Chem_Look_Up!A47," ")</f>
        <v>Mepiquat</v>
      </c>
      <c r="B53" s="1602" t="str">
        <f>IF(A5_Chem_Look_Up!$F47&gt;0,A5_Chem_Look_Up!B47," ")</f>
        <v/>
      </c>
      <c r="C53" s="1605" t="str">
        <f>IF(A5_Chem_Look_Up!$F47&gt;0,A5_Chem_Look_Up!C47," ")</f>
        <v>oz</v>
      </c>
      <c r="D53" s="1601">
        <f>IF(A5_Chem_Look_Up!$F47&gt;0,A5_Chem_Look_Up!D47,0)</f>
        <v>4.9796874999999997E-2</v>
      </c>
      <c r="E53" s="1586">
        <f>IF(A5_Chem_Look_Up!$F47&gt;0,A5_Chem_Look_Up!E47,0)</f>
        <v>20</v>
      </c>
      <c r="F53" s="1587">
        <f t="shared" si="2"/>
        <v>0.99593749999999992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3.7845624999999998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Defoliant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>Dropp</v>
      </c>
      <c r="B61" s="1602" t="str">
        <f>IF(A5_Chem_Look_Up!$F55&gt;0,A5_Chem_Look_Up!B55," ")</f>
        <v/>
      </c>
      <c r="C61" s="1605" t="str">
        <f>IF(A5_Chem_Look_Up!$F55&gt;0,A5_Chem_Look_Up!C55," ")</f>
        <v>oz</v>
      </c>
      <c r="D61" s="1601">
        <f>IF(A5_Chem_Look_Up!$F55&gt;0,A5_Chem_Look_Up!D55,0)</f>
        <v>0.78125</v>
      </c>
      <c r="E61" s="1586">
        <f>IF(A5_Chem_Look_Up!$F55&gt;0,A5_Chem_Look_Up!E55,0)</f>
        <v>2</v>
      </c>
      <c r="F61" s="1587">
        <f t="shared" ref="F61:F67" si="3">D61*E61</f>
        <v>1.5625</v>
      </c>
      <c r="G61" s="20"/>
    </row>
    <row r="62" spans="1:7" ht="12.95" customHeight="1" x14ac:dyDescent="0.35">
      <c r="A62" s="1584" t="str">
        <f>IF(A5_Chem_Look_Up!$F56&gt;0,A5_Chem_Look_Up!A56," ")</f>
        <v>Folex</v>
      </c>
      <c r="B62" s="1602" t="str">
        <f>IF(A5_Chem_Look_Up!$F56&gt;0,A5_Chem_Look_Up!B56," ")</f>
        <v/>
      </c>
      <c r="C62" s="1605" t="str">
        <f>IF(A5_Chem_Look_Up!$F56&gt;0,A5_Chem_Look_Up!C56," ")</f>
        <v>oz</v>
      </c>
      <c r="D62" s="1601">
        <f>IF(A5_Chem_Look_Up!$F56&gt;0,A5_Chem_Look_Up!D56,0)</f>
        <v>0.5234375</v>
      </c>
      <c r="E62" s="1586">
        <f>IF(A5_Chem_Look_Up!$F56&gt;0,A5_Chem_Look_Up!E56,0)</f>
        <v>6</v>
      </c>
      <c r="F62" s="1587">
        <f t="shared" si="3"/>
        <v>3.140625</v>
      </c>
      <c r="G62" s="20"/>
    </row>
    <row r="63" spans="1:7" ht="12.95" customHeight="1" x14ac:dyDescent="0.35">
      <c r="A63" s="1584" t="str">
        <f>IF(A5_Chem_Look_Up!$F57&gt;0,A5_Chem_Look_Up!A57," ")</f>
        <v>Prep</v>
      </c>
      <c r="B63" s="1602" t="str">
        <f>IF(A5_Chem_Look_Up!$F57&gt;0,A5_Chem_Look_Up!B57," ")</f>
        <v/>
      </c>
      <c r="C63" s="1605" t="str">
        <f>IF(A5_Chem_Look_Up!$F57&gt;0,A5_Chem_Look_Up!C57," ")</f>
        <v>oz</v>
      </c>
      <c r="D63" s="1601">
        <f>IF(A5_Chem_Look_Up!$F57&gt;0,A5_Chem_Look_Up!D57,0)</f>
        <v>0.28125</v>
      </c>
      <c r="E63" s="1586">
        <f>IF(A5_Chem_Look_Up!$F57&gt;0,A5_Chem_Look_Up!E57,0)</f>
        <v>6</v>
      </c>
      <c r="F63" s="1587">
        <f t="shared" si="3"/>
        <v>1.6875</v>
      </c>
      <c r="G63" s="20"/>
    </row>
    <row r="64" spans="1:7" ht="12.95" customHeight="1" x14ac:dyDescent="0.35">
      <c r="A64" s="1584" t="str">
        <f>IF(A5_Chem_Look_Up!$F58&gt;0,A5_Chem_Look_Up!A58," ")</f>
        <v>Folex</v>
      </c>
      <c r="B64" s="1602" t="str">
        <f>IF(A5_Chem_Look_Up!$F58&gt;0,A5_Chem_Look_Up!B58," ")</f>
        <v/>
      </c>
      <c r="C64" s="1605" t="str">
        <f>IF(A5_Chem_Look_Up!$F58&gt;0,A5_Chem_Look_Up!C58," ")</f>
        <v>oz</v>
      </c>
      <c r="D64" s="1601">
        <f>IF(A5_Chem_Look_Up!$F58&gt;0,A5_Chem_Look_Up!D58,0)</f>
        <v>0.5234375</v>
      </c>
      <c r="E64" s="1586">
        <f>IF(A5_Chem_Look_Up!$F58&gt;0,A5_Chem_Look_Up!E58,0)</f>
        <v>8</v>
      </c>
      <c r="F64" s="1587">
        <f t="shared" si="3"/>
        <v>4.1875</v>
      </c>
      <c r="G64" s="20"/>
    </row>
    <row r="65" spans="1:7" ht="12.95" customHeight="1" x14ac:dyDescent="0.35">
      <c r="A65" s="1584" t="str">
        <f>IF(A5_Chem_Look_Up!$F59&gt;0,A5_Chem_Look_Up!A59," ")</f>
        <v>Prep</v>
      </c>
      <c r="B65" s="1602" t="str">
        <f>IF(A5_Chem_Look_Up!$F59&gt;0,A5_Chem_Look_Up!B59," ")</f>
        <v/>
      </c>
      <c r="C65" s="1605" t="str">
        <f>IF(A5_Chem_Look_Up!$F59&gt;0,A5_Chem_Look_Up!C59," ")</f>
        <v>oz</v>
      </c>
      <c r="D65" s="1601">
        <f>IF(A5_Chem_Look_Up!$F59&gt;0,A5_Chem_Look_Up!D59,0)</f>
        <v>0.28125</v>
      </c>
      <c r="E65" s="1586">
        <f>IF(A5_Chem_Look_Up!$F59&gt;0,A5_Chem_Look_Up!E59,0)</f>
        <v>32</v>
      </c>
      <c r="F65" s="1587">
        <f t="shared" si="3"/>
        <v>9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19.578125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1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9.5864597009256336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14.731992314724318</v>
      </c>
      <c r="L6" s="1517">
        <f>IF(AND(Budget!$B$3=1,Budget!$E$44=0),1,0)</f>
        <v>1</v>
      </c>
      <c r="M6" s="560">
        <v>1</v>
      </c>
      <c r="N6" s="869">
        <f>'C2_Irrigation_Calculations'!K6*Budget!D$30</f>
        <v>2.375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13.30143832416293</v>
      </c>
      <c r="L7" s="1517">
        <v>1</v>
      </c>
      <c r="M7" s="560">
        <v>1</v>
      </c>
      <c r="N7" s="869">
        <f>'C2_Irrigation_Calculations'!K7*Budget!D$30</f>
        <v>2.1443750000000001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0</v>
      </c>
      <c r="L8" s="1517">
        <v>1</v>
      </c>
      <c r="M8" s="560">
        <v>1</v>
      </c>
      <c r="N8" s="869">
        <f>'C2_Irrigation_Calculations'!K8*Budget!D$30</f>
        <v>0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0</v>
      </c>
      <c r="L9" s="1517">
        <f>IF(AND(Budget!$B$3=1,Budget!$E$44=0),1,0)</f>
        <v>1</v>
      </c>
      <c r="M9" s="560">
        <v>1</v>
      </c>
      <c r="N9" s="869">
        <f>'C2_Irrigation_Calculations'!K9*Budget!D$30</f>
        <v>0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37.619890339812883</v>
      </c>
      <c r="L10" s="1384"/>
      <c r="M10" s="1329" t="s">
        <v>766</v>
      </c>
      <c r="N10" s="870">
        <f>SUM(N4:N9)</f>
        <v>4.5193750000000001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160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6104.957454370061</v>
      </c>
      <c r="F38" s="926">
        <f>(SUM(Trips!B30:B31)+SUM(Trips!B33:B37))*IF(B2=2,I15,I14)</f>
        <v>765.84427170091112</v>
      </c>
      <c r="G38" s="927">
        <f t="shared" ref="G38:G43" si="0">SUM(E38:F38)</f>
        <v>6870.8017260709721</v>
      </c>
    </row>
    <row r="39" spans="4:7" ht="13.9" x14ac:dyDescent="0.4">
      <c r="D39" s="863" t="s">
        <v>243</v>
      </c>
      <c r="E39" s="926">
        <f>Trips!C76*IF(B2=2,I15,I14)</f>
        <v>723.1</v>
      </c>
      <c r="F39" s="926">
        <f>(SUM(Trips!C30:C31)+SUM(Trips!C33:C37))*IF(B2=2,I15,I14)</f>
        <v>38.547106568044192</v>
      </c>
      <c r="G39" s="927">
        <f t="shared" si="0"/>
        <v>761.64710656804425</v>
      </c>
    </row>
    <row r="40" spans="4:7" ht="13.9" x14ac:dyDescent="0.4">
      <c r="D40" s="863" t="s">
        <v>615</v>
      </c>
      <c r="E40" s="926">
        <f>Trips!D76*IF(B2=2,I15,I14)</f>
        <v>5578.7183061654123</v>
      </c>
      <c r="F40" s="926">
        <f>(SUM(Trips!D30:D31)+SUM(Trips!D33:D37))*IF(B2=2,I15,I14)</f>
        <v>151.32597079303432</v>
      </c>
      <c r="G40" s="927">
        <f t="shared" si="0"/>
        <v>5730.044276958447</v>
      </c>
    </row>
    <row r="41" spans="4:7" ht="13.9" x14ac:dyDescent="0.4">
      <c r="D41" s="863" t="s">
        <v>55</v>
      </c>
      <c r="E41" s="926">
        <f>Trips!E76*IF(B2=2,I15,I14)</f>
        <v>93.962879999999984</v>
      </c>
      <c r="F41" s="926">
        <f>(SUM(Trips!E30:E31)+SUM(Trips!E33:E37))*IF(B2=2,I15,I14)</f>
        <v>369.64376191560456</v>
      </c>
      <c r="G41" s="927">
        <f t="shared" si="0"/>
        <v>463.60664191560454</v>
      </c>
    </row>
    <row r="42" spans="4:7" ht="13.9" x14ac:dyDescent="0.4">
      <c r="D42" s="863" t="s">
        <v>625</v>
      </c>
      <c r="E42" s="926">
        <f>Budget!F31*IF(Irrigation!B2=2,Irrigation!I15,Irrigation!I14)</f>
        <v>2600</v>
      </c>
      <c r="F42" s="926">
        <v>0</v>
      </c>
      <c r="G42" s="927">
        <f t="shared" si="0"/>
        <v>2600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38.292213585045559</v>
      </c>
      <c r="G43" s="927">
        <f t="shared" si="0"/>
        <v>38.292213585045559</v>
      </c>
    </row>
    <row r="44" spans="4:7" ht="13.9" thickBot="1" x14ac:dyDescent="0.4">
      <c r="D44" s="504" t="s">
        <v>22</v>
      </c>
      <c r="E44" s="928">
        <f>SUM(E38:E43)</f>
        <v>15100.738640535474</v>
      </c>
      <c r="F44" s="928">
        <f>SUM(F38:F43)</f>
        <v>1363.6533245626399</v>
      </c>
      <c r="G44" s="929">
        <f>SUM(G38:G43)</f>
        <v>16464.391965098115</v>
      </c>
    </row>
    <row r="45" spans="4:7" ht="13.9" x14ac:dyDescent="0.4">
      <c r="D45" s="922" t="s">
        <v>630</v>
      </c>
      <c r="E45" s="935">
        <f>IF(B2&lt;3,Budget!D29,0)</f>
        <v>12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>
        <f t="shared" ref="E48:G54" si="1">IF($E$34&gt;0,E38/$E$34," ")</f>
        <v>38.155984089812883</v>
      </c>
      <c r="F48" s="82">
        <f t="shared" si="1"/>
        <v>4.7865266981306949</v>
      </c>
      <c r="G48" s="934">
        <f t="shared" si="1"/>
        <v>42.942510787943576</v>
      </c>
    </row>
    <row r="49" spans="4:7" ht="13.9" x14ac:dyDescent="0.4">
      <c r="D49" s="863" t="s">
        <v>243</v>
      </c>
      <c r="E49" s="82">
        <f t="shared" si="1"/>
        <v>4.5193750000000001</v>
      </c>
      <c r="F49" s="82">
        <f t="shared" si="1"/>
        <v>0.2409194160502762</v>
      </c>
      <c r="G49" s="934">
        <f t="shared" si="1"/>
        <v>4.7602944160502769</v>
      </c>
    </row>
    <row r="50" spans="4:7" ht="13.9" x14ac:dyDescent="0.4">
      <c r="D50" s="863" t="s">
        <v>615</v>
      </c>
      <c r="E50" s="82">
        <f t="shared" si="1"/>
        <v>34.86698941353383</v>
      </c>
      <c r="F50" s="82">
        <f t="shared" si="1"/>
        <v>0.94578731745646449</v>
      </c>
      <c r="G50" s="934">
        <f t="shared" si="1"/>
        <v>35.812776730990294</v>
      </c>
    </row>
    <row r="51" spans="4:7" ht="13.9" x14ac:dyDescent="0.4">
      <c r="D51" s="863" t="s">
        <v>55</v>
      </c>
      <c r="E51" s="82">
        <f t="shared" si="1"/>
        <v>0.5872679999999999</v>
      </c>
      <c r="F51" s="82">
        <f t="shared" si="1"/>
        <v>2.3102735119725284</v>
      </c>
      <c r="G51" s="934">
        <f t="shared" si="1"/>
        <v>2.8975415119725283</v>
      </c>
    </row>
    <row r="52" spans="4:7" ht="13.9" x14ac:dyDescent="0.4">
      <c r="D52" s="863" t="s">
        <v>625</v>
      </c>
      <c r="E52" s="82">
        <f t="shared" si="1"/>
        <v>16.25</v>
      </c>
      <c r="F52" s="82">
        <f t="shared" si="1"/>
        <v>0</v>
      </c>
      <c r="G52" s="934">
        <f t="shared" si="1"/>
        <v>16.25</v>
      </c>
    </row>
    <row r="53" spans="4:7" ht="13.9" x14ac:dyDescent="0.4">
      <c r="D53" s="863" t="s">
        <v>491</v>
      </c>
      <c r="E53" s="82">
        <f t="shared" si="1"/>
        <v>0</v>
      </c>
      <c r="F53" s="82">
        <f t="shared" si="1"/>
        <v>0.23932633490653474</v>
      </c>
      <c r="G53" s="934">
        <f t="shared" si="1"/>
        <v>0.23932633490653474</v>
      </c>
    </row>
    <row r="54" spans="4:7" ht="13.9" thickBot="1" x14ac:dyDescent="0.4">
      <c r="D54" s="504" t="s">
        <v>22</v>
      </c>
      <c r="E54" s="864">
        <f t="shared" si="1"/>
        <v>94.37961650334671</v>
      </c>
      <c r="F54" s="864">
        <f t="shared" si="1"/>
        <v>8.5228332785164991</v>
      </c>
      <c r="G54" s="870">
        <f t="shared" si="1"/>
        <v>102.90244978186323</v>
      </c>
    </row>
    <row r="55" spans="4:7" ht="13.9" x14ac:dyDescent="0.4">
      <c r="D55" s="922" t="s">
        <v>631</v>
      </c>
      <c r="E55" s="935">
        <f>E34</f>
        <v>160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508.74645453083843</v>
      </c>
      <c r="F58" s="82">
        <f>IF(Budget!$D$29&gt;0,F38/Budget!$D$29,)</f>
        <v>63.820355975075927</v>
      </c>
      <c r="G58" s="934">
        <f>IF(Budget!$D$29&gt;0,G38/Budget!$D$29,)</f>
        <v>572.5668105059143</v>
      </c>
    </row>
    <row r="59" spans="4:7" ht="13.9" x14ac:dyDescent="0.4">
      <c r="D59" s="863" t="s">
        <v>243</v>
      </c>
      <c r="E59" s="82">
        <f>IF(Budget!$D$29&gt;0,E39/Budget!$D$29,)</f>
        <v>60.258333333333333</v>
      </c>
      <c r="F59" s="82">
        <f>IF(Budget!$D$29&gt;0,F39/Budget!$D$29,)</f>
        <v>3.2122588806703494</v>
      </c>
      <c r="G59" s="934">
        <f>IF(Budget!$D$29&gt;0,G39/Budget!$D$29,)</f>
        <v>63.470592214003688</v>
      </c>
    </row>
    <row r="60" spans="4:7" ht="13.9" x14ac:dyDescent="0.4">
      <c r="D60" s="863" t="s">
        <v>615</v>
      </c>
      <c r="E60" s="82">
        <f>IF(Budget!$D$29&gt;0,E40/Budget!$D$29,)</f>
        <v>464.89319218045102</v>
      </c>
      <c r="F60" s="82">
        <f>IF(Budget!$D$29&gt;0,F40/Budget!$D$29,)</f>
        <v>12.610497566086194</v>
      </c>
      <c r="G60" s="934">
        <f>IF(Budget!$D$29&gt;0,G40/Budget!$D$29,)</f>
        <v>477.50368974653725</v>
      </c>
    </row>
    <row r="61" spans="4:7" ht="13.9" x14ac:dyDescent="0.4">
      <c r="D61" s="863" t="s">
        <v>55</v>
      </c>
      <c r="E61" s="82">
        <f>IF(Budget!$D$29&gt;0,E41/Budget!$D$29,)</f>
        <v>7.830239999999999</v>
      </c>
      <c r="F61" s="82">
        <f>IF(Budget!$D$29&gt;0,F41/Budget!$D$29,)</f>
        <v>30.80364682630038</v>
      </c>
      <c r="G61" s="934">
        <f>IF(Budget!$D$29&gt;0,G41/Budget!$D$29,)</f>
        <v>38.633886826300376</v>
      </c>
    </row>
    <row r="62" spans="4:7" ht="13.9" x14ac:dyDescent="0.4">
      <c r="D62" s="863" t="s">
        <v>625</v>
      </c>
      <c r="E62" s="82">
        <f>IF(Budget!$D$29&gt;0,E42/Budget!$D$29,)</f>
        <v>216.66666666666666</v>
      </c>
      <c r="F62" s="82">
        <f>IF(Budget!$D$29&gt;0,F42/Budget!$D$29,)</f>
        <v>0</v>
      </c>
      <c r="G62" s="934">
        <f>IF(Budget!$D$29&gt;0,G42/Budget!$D$29,)</f>
        <v>216.66666666666666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3.1910177987537964</v>
      </c>
      <c r="G63" s="934">
        <f>IF(Budget!$D$29&gt;0,G43/Budget!$D$29,)</f>
        <v>3.1910177987537964</v>
      </c>
    </row>
    <row r="64" spans="4:7" ht="13.9" thickBot="1" x14ac:dyDescent="0.4">
      <c r="D64" s="504" t="s">
        <v>22</v>
      </c>
      <c r="E64" s="864">
        <f>IF(Budget!$D$29&gt;0,E44/Budget!$D$29,)</f>
        <v>1258.3948867112895</v>
      </c>
      <c r="F64" s="864">
        <f>IF(Budget!$D$29&gt;0,F44/Budget!$D$29,)</f>
        <v>113.63777704688665</v>
      </c>
      <c r="G64" s="870">
        <f>IF(Budget!$D$29&gt;0,G44/Budget!$D$29,)</f>
        <v>1372.0326637581763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>
        <f>IF(A2_Budget_Look_Up!B10&lt;1,IF(B2&lt;3,((G67*G68*IF(B2=2,I15,I14))-G44),"NA"),"NA")</f>
        <v>21935.608034901885</v>
      </c>
    </row>
    <row r="70" spans="4:7" ht="14.25" thickBot="1" x14ac:dyDescent="0.45">
      <c r="D70" s="185" t="s">
        <v>621</v>
      </c>
      <c r="E70" s="186"/>
      <c r="F70" s="186"/>
      <c r="G70" s="1935">
        <f>IF(A2_Budget_Look_Up!B10&lt;1,IF(B2&lt;3,((G67*G68)-G54),"NA"),"NA")</f>
        <v>137.09755021813677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0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0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2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0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0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0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1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0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1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1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0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0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1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0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0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0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0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0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1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0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1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1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0</v>
      </c>
      <c r="C69" s="149">
        <f>A6_Machine_Look_Up!B69</f>
        <v>739000</v>
      </c>
      <c r="D69" s="1944">
        <f>A6_Machine_Look_Up!C69</f>
        <v>1</v>
      </c>
      <c r="E69" s="1970">
        <f>A6_Machine_Look_Up!D69</f>
        <v>1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0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0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0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0</v>
      </c>
      <c r="C74" s="149">
        <f>A6_Machine_Look_Up!B74</f>
        <v>58400</v>
      </c>
      <c r="D74" s="1944">
        <f>A6_Machine_Look_Up!C74</f>
        <v>1</v>
      </c>
      <c r="E74" s="1970">
        <f>A6_Machine_Look_Up!D74</f>
        <v>1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0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0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40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0</v>
      </c>
      <c r="C5" s="48">
        <f>Z1_Equipment_Calculations!AC15+Z1_Equipment_Calculations!AF15</f>
        <v>0</v>
      </c>
      <c r="D5" s="48">
        <f>Z1_Equipment_Calculations!AJ15</f>
        <v>0</v>
      </c>
      <c r="E5" s="48">
        <f>Z1_Equipment_Calculations!AM15</f>
        <v>0</v>
      </c>
      <c r="F5" s="53">
        <f>SUM(B5:E5)</f>
        <v>0</v>
      </c>
      <c r="G5" s="62" t="str">
        <f>IF(Machine!$B15&gt;0,B5/Machine!$B15," ")</f>
        <v xml:space="preserve"> </v>
      </c>
      <c r="H5" s="48" t="str">
        <f>IF(Machine!$B15&gt;0,C5/Machine!$B15," ")</f>
        <v xml:space="preserve"> </v>
      </c>
      <c r="I5" s="48" t="str">
        <f>IF(Machine!$B15&gt;0,D5/Machine!$B15," ")</f>
        <v xml:space="preserve"> </v>
      </c>
      <c r="J5" s="48" t="str">
        <f>IF(Machine!$B15&gt;0,E5/Machine!$B15," ")</f>
        <v xml:space="preserve"> </v>
      </c>
      <c r="K5" s="53" t="str">
        <f>IF(Machine!$B15&gt;0,F5/Machine!$B15," ")</f>
        <v xml:space="preserve"> 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0</v>
      </c>
      <c r="C9" s="48">
        <f>Z1_Equipment_Calculations!AC19+Z1_Equipment_Calculations!AF19</f>
        <v>0</v>
      </c>
      <c r="D9" s="48">
        <f>Z1_Equipment_Calculations!AJ19</f>
        <v>0</v>
      </c>
      <c r="E9" s="48">
        <f>Z1_Equipment_Calculations!AM19</f>
        <v>0</v>
      </c>
      <c r="F9" s="53">
        <f t="shared" ref="F9:F18" si="0">SUM(B9:E9)</f>
        <v>0</v>
      </c>
      <c r="G9" s="62" t="str">
        <f>IF(Machine!$B19&gt;0,B9/Machine!$B19," ")</f>
        <v xml:space="preserve"> </v>
      </c>
      <c r="H9" s="48" t="str">
        <f>IF(Machine!$B19&gt;0,C9/Machine!$B19," ")</f>
        <v xml:space="preserve"> </v>
      </c>
      <c r="I9" s="48" t="str">
        <f>IF(Machine!$B19&gt;0,D9/Machine!$B19," ")</f>
        <v xml:space="preserve"> </v>
      </c>
      <c r="J9" s="48" t="str">
        <f>IF(Machine!$B19&gt;0,E9/Machine!$B19," ")</f>
        <v xml:space="preserve"> </v>
      </c>
      <c r="K9" s="53" t="str">
        <f>IF(Machine!$B19&gt;0,F9/Machine!$B19," ")</f>
        <v xml:space="preserve"> 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17.151718084809918</v>
      </c>
      <c r="C10" s="48">
        <f>Z1_Equipment_Calculations!AC20+Z1_Equipment_Calculations!AF20</f>
        <v>2.1693782921213138</v>
      </c>
      <c r="D10" s="48">
        <f>Z1_Equipment_Calculations!AJ20</f>
        <v>3.0027105263157892</v>
      </c>
      <c r="E10" s="48">
        <f>Z1_Equipment_Calculations!AM20</f>
        <v>1.8602543859649123</v>
      </c>
      <c r="F10" s="53">
        <f t="shared" si="0"/>
        <v>24.184061289211929</v>
      </c>
      <c r="G10" s="62">
        <f>IF(Machine!$B20&gt;0,B10/Machine!$B20," ")</f>
        <v>8.575859042404959</v>
      </c>
      <c r="H10" s="48">
        <f>IF(Machine!$B20&gt;0,C10/Machine!$B20," ")</f>
        <v>1.0846891460606569</v>
      </c>
      <c r="I10" s="48">
        <f>IF(Machine!$B20&gt;0,D10/Machine!$B20," ")</f>
        <v>1.5013552631578946</v>
      </c>
      <c r="J10" s="48">
        <f>IF(Machine!$B20&gt;0,E10/Machine!$B20," ")</f>
        <v>0.93012719298245616</v>
      </c>
      <c r="K10" s="53">
        <f>IF(Machine!$B20&gt;0,F10/Machine!$B20," ")</f>
        <v>12.092030644605964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</v>
      </c>
      <c r="C15" s="48">
        <f>Z1_Equipment_Calculations!AC25+Z1_Equipment_Calculations!AF25</f>
        <v>0</v>
      </c>
      <c r="D15" s="48">
        <f>Z1_Equipment_Calculations!AJ25</f>
        <v>0</v>
      </c>
      <c r="E15" s="48">
        <f>Z1_Equipment_Calculations!AM25</f>
        <v>0</v>
      </c>
      <c r="F15" s="53">
        <f t="shared" si="0"/>
        <v>0</v>
      </c>
      <c r="G15" s="62" t="str">
        <f>IF(Machine!$B25&gt;0,B15/Machine!$B25," ")</f>
        <v xml:space="preserve"> </v>
      </c>
      <c r="H15" s="48" t="str">
        <f>IF(Machine!$B25&gt;0,C15/Machine!$B25," ")</f>
        <v xml:space="preserve"> </v>
      </c>
      <c r="I15" s="48" t="str">
        <f>IF(Machine!$B25&gt;0,D15/Machine!$B25," ")</f>
        <v xml:space="preserve"> </v>
      </c>
      <c r="J15" s="48" t="str">
        <f>IF(Machine!$B25&gt;0,E15/Machine!$B25," ")</f>
        <v xml:space="preserve"> </v>
      </c>
      <c r="K15" s="53" t="str">
        <f>IF(Machine!$B25&gt;0,F15/Machine!$B25," ")</f>
        <v xml:space="preserve"> 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0</v>
      </c>
      <c r="C17" s="48">
        <f>Z1_Equipment_Calculations!AC27+Z1_Equipment_Calculations!AF27</f>
        <v>0</v>
      </c>
      <c r="D17" s="48">
        <f>Z1_Equipment_Calculations!AJ27</f>
        <v>0</v>
      </c>
      <c r="E17" s="48">
        <f>Z1_Equipment_Calculations!AM27</f>
        <v>0</v>
      </c>
      <c r="F17" s="53">
        <f>SUM(B17:E17)</f>
        <v>0</v>
      </c>
      <c r="G17" s="62" t="str">
        <f>IF(Machine!$B27&gt;0,B17/Machine!$B27," ")</f>
        <v xml:space="preserve"> </v>
      </c>
      <c r="H17" s="48" t="str">
        <f>IF(Machine!$B27&gt;0,C17/Machine!$B27," ")</f>
        <v xml:space="preserve"> </v>
      </c>
      <c r="I17" s="48" t="str">
        <f>IF(Machine!$B27&gt;0,D17/Machine!$B27," ")</f>
        <v xml:space="preserve"> </v>
      </c>
      <c r="J17" s="48" t="str">
        <f>IF(Machine!$B27&gt;0,E17/Machine!$B27," ")</f>
        <v xml:space="preserve"> </v>
      </c>
      <c r="K17" s="53" t="str">
        <f>IF(Machine!$B27&gt;0,F17/Machine!$B27," ")</f>
        <v xml:space="preserve"> 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0</v>
      </c>
      <c r="C18" s="48">
        <f>Z1_Equipment_Calculations!AC28+Z1_Equipment_Calculations!AF28</f>
        <v>0</v>
      </c>
      <c r="D18" s="48">
        <f>Z1_Equipment_Calculations!AJ28</f>
        <v>0</v>
      </c>
      <c r="E18" s="48">
        <f>Z1_Equipment_Calculations!AM28</f>
        <v>0</v>
      </c>
      <c r="F18" s="53">
        <f t="shared" si="0"/>
        <v>0</v>
      </c>
      <c r="G18" s="62" t="str">
        <f>IF(Machine!$B28&gt;0,B18/Machine!$B28," ")</f>
        <v xml:space="preserve"> </v>
      </c>
      <c r="H18" s="48" t="str">
        <f>IF(Machine!$B28&gt;0,C18/Machine!$B28," ")</f>
        <v xml:space="preserve"> </v>
      </c>
      <c r="I18" s="48" t="str">
        <f>IF(Machine!$B28&gt;0,D18/Machine!$B28," ")</f>
        <v xml:space="preserve"> </v>
      </c>
      <c r="J18" s="48" t="str">
        <f>IF(Machine!$B28&gt;0,E18/Machine!$B28," ")</f>
        <v xml:space="preserve"> </v>
      </c>
      <c r="K18" s="53" t="str">
        <f>IF(Machine!$B28&gt;0,F18/Machine!$B28," ")</f>
        <v xml:space="preserve"> 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4.9857054040011874</v>
      </c>
      <c r="C19" s="48">
        <f>Z1_Equipment_Calculations!AC29+Z1_Equipment_Calculations!AF29</f>
        <v>0.45171120485025068</v>
      </c>
      <c r="D19" s="48">
        <f>Z1_Equipment_Calculations!AJ29</f>
        <v>0.96515695488721776</v>
      </c>
      <c r="E19" s="48">
        <f>Z1_Equipment_Calculations!AM29</f>
        <v>0.59793890977443598</v>
      </c>
      <c r="F19" s="53">
        <f>SUM(B19:E19)</f>
        <v>7.0005124735130924</v>
      </c>
      <c r="G19" s="62">
        <f>IF(Machine!$B29&gt;0,B19/Machine!$B29," ")</f>
        <v>4.9857054040011874</v>
      </c>
      <c r="H19" s="48">
        <f>IF(Machine!$B29&gt;0,C19/Machine!$B29," ")</f>
        <v>0.45171120485025068</v>
      </c>
      <c r="I19" s="48">
        <f>IF(Machine!$B29&gt;0,D19/Machine!$B29," ")</f>
        <v>0.96515695488721776</v>
      </c>
      <c r="J19" s="48">
        <f>IF(Machine!$B29&gt;0,E19/Machine!$B29," ")</f>
        <v>0.59793890977443598</v>
      </c>
      <c r="K19" s="53">
        <f>IF(Machine!$B29&gt;0,F19/Machine!$B29," ")</f>
        <v>7.0005124735130924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0</v>
      </c>
      <c r="C22" s="48">
        <f>Z1_Equipment_Calculations!AC32+Z1_Equipment_Calculations!AF32</f>
        <v>0</v>
      </c>
      <c r="D22" s="48">
        <f>Z1_Equipment_Calculations!AJ32</f>
        <v>0</v>
      </c>
      <c r="E22" s="48">
        <f>Z1_Equipment_Calculations!AM32</f>
        <v>0</v>
      </c>
      <c r="F22" s="53">
        <f t="shared" si="1"/>
        <v>0</v>
      </c>
      <c r="G22" s="62" t="str">
        <f>IF(Machine!$B32&gt;0,B22/Machine!$B32," ")</f>
        <v xml:space="preserve"> </v>
      </c>
      <c r="H22" s="48" t="str">
        <f>IF(Machine!$B32&gt;0,C22/Machine!$B32," ")</f>
        <v xml:space="preserve"> </v>
      </c>
      <c r="I22" s="48" t="str">
        <f>IF(Machine!$B32&gt;0,D22/Machine!$B32," ")</f>
        <v xml:space="preserve"> </v>
      </c>
      <c r="J22" s="48" t="str">
        <f>IF(Machine!$B32&gt;0,E22/Machine!$B32," ")</f>
        <v xml:space="preserve"> </v>
      </c>
      <c r="K22" s="53" t="str">
        <f>IF(Machine!$B32&gt;0,F22/Machine!$B32," ")</f>
        <v xml:space="preserve"> 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4.1824183654847626</v>
      </c>
      <c r="C24" s="48">
        <f>Z1_Equipment_Calculations!AC34+Z1_Equipment_Calculations!AF34</f>
        <v>0.5321405183449972</v>
      </c>
      <c r="D24" s="48">
        <f>Z1_Equipment_Calculations!AJ34</f>
        <v>0.90838301636444041</v>
      </c>
      <c r="E24" s="48">
        <f>Z1_Equipment_Calculations!AM34</f>
        <v>0.56276603272888104</v>
      </c>
      <c r="F24" s="53">
        <f t="shared" si="1"/>
        <v>6.1857079329230809</v>
      </c>
      <c r="G24" s="62">
        <f>IF(Machine!$B34&gt;0,B24/Machine!$B34," ")</f>
        <v>4.1824183654847626</v>
      </c>
      <c r="H24" s="48">
        <f>IF(Machine!$B34&gt;0,C24/Machine!$B34," ")</f>
        <v>0.5321405183449972</v>
      </c>
      <c r="I24" s="48">
        <f>IF(Machine!$B34&gt;0,D24/Machine!$B34," ")</f>
        <v>0.90838301636444041</v>
      </c>
      <c r="J24" s="48">
        <f>IF(Machine!$B34&gt;0,E24/Machine!$B34," ")</f>
        <v>0.56276603272888104</v>
      </c>
      <c r="K24" s="53">
        <f>IF(Machine!$B34&gt;0,F24/Machine!$B34," ")</f>
        <v>6.1857079329230809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9.5302699588514628</v>
      </c>
      <c r="C25" s="48">
        <f>Z1_Equipment_Calculations!AC35+Z1_Equipment_Calculations!AF35</f>
        <v>2.554164181520203</v>
      </c>
      <c r="D25" s="48">
        <f>Z1_Equipment_Calculations!AJ35</f>
        <v>1.2402499999999999</v>
      </c>
      <c r="E25" s="48">
        <f>Z1_Equipment_Calculations!AM35</f>
        <v>1.0108482905982903</v>
      </c>
      <c r="F25" s="53">
        <f t="shared" si="1"/>
        <v>14.335532430969955</v>
      </c>
      <c r="G25" s="62">
        <f>IF(Machine!$B35&gt;0,B25/Machine!$B35," ")</f>
        <v>9.5302699588514628</v>
      </c>
      <c r="H25" s="48">
        <f>IF(Machine!$B35&gt;0,C25/Machine!$B35," ")</f>
        <v>2.554164181520203</v>
      </c>
      <c r="I25" s="48">
        <f>IF(Machine!$B35&gt;0,D25/Machine!$B35," ")</f>
        <v>1.2402499999999999</v>
      </c>
      <c r="J25" s="48">
        <f>IF(Machine!$B35&gt;0,E25/Machine!$B35," ")</f>
        <v>1.0108482905982903</v>
      </c>
      <c r="K25" s="53">
        <f>IF(Machine!$B35&gt;0,F25/Machine!$B35," ")</f>
        <v>14.335532430969955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0</v>
      </c>
      <c r="C26" s="48">
        <f>Z1_Equipment_Calculations!AC36+Z1_Equipment_Calculations!AF36</f>
        <v>0</v>
      </c>
      <c r="D26" s="48">
        <f>Z1_Equipment_Calculations!AJ36</f>
        <v>0</v>
      </c>
      <c r="E26" s="48">
        <f>Z1_Equipment_Calculations!AM36</f>
        <v>0</v>
      </c>
      <c r="F26" s="53">
        <f t="shared" si="1"/>
        <v>0</v>
      </c>
      <c r="G26" s="62" t="str">
        <f>IF(Machine!$B36&gt;0,B26/Machine!$B36," ")</f>
        <v xml:space="preserve"> </v>
      </c>
      <c r="H26" s="48" t="str">
        <f>IF(Machine!$B36&gt;0,C26/Machine!$B36," ")</f>
        <v xml:space="preserve"> </v>
      </c>
      <c r="I26" s="48" t="str">
        <f>IF(Machine!$B36&gt;0,D26/Machine!$B36," ")</f>
        <v xml:space="preserve"> </v>
      </c>
      <c r="J26" s="48" t="str">
        <f>IF(Machine!$B36&gt;0,E26/Machine!$B36," ")</f>
        <v xml:space="preserve"> </v>
      </c>
      <c r="K26" s="53" t="str">
        <f>IF(Machine!$B36&gt;0,F26/Machine!$B36," ")</f>
        <v xml:space="preserve"> 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0</v>
      </c>
      <c r="C27" s="48">
        <f>Z1_Equipment_Calculations!AC37+Z1_Equipment_Calculations!AF37</f>
        <v>0</v>
      </c>
      <c r="D27" s="48">
        <f>Z1_Equipment_Calculations!AJ37</f>
        <v>0</v>
      </c>
      <c r="E27" s="48">
        <f>Z1_Equipment_Calculations!AM37</f>
        <v>0</v>
      </c>
      <c r="F27" s="53">
        <f t="shared" si="1"/>
        <v>0</v>
      </c>
      <c r="G27" s="62" t="str">
        <f>IF(Machine!$B37&gt;0,B27/Machine!$B37," ")</f>
        <v xml:space="preserve"> </v>
      </c>
      <c r="H27" s="48" t="str">
        <f>IF(Machine!$B37&gt;0,C27/Machine!$B37," ")</f>
        <v xml:space="preserve"> </v>
      </c>
      <c r="I27" s="48" t="str">
        <f>IF(Machine!$B37&gt;0,D27/Machine!$B37," ")</f>
        <v xml:space="preserve"> </v>
      </c>
      <c r="J27" s="48" t="str">
        <f>IF(Machine!$B37&gt;0,E27/Machine!$B37," ")</f>
        <v xml:space="preserve"> </v>
      </c>
      <c r="K27" s="53" t="str">
        <f>IF(Machine!$B37&gt;0,F27/Machine!$B37," ")</f>
        <v xml:space="preserve"> 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4.7865266981306949</v>
      </c>
      <c r="C31" s="48">
        <f>Z1_Equipment_Calculations!AC41+Z1_Equipment_Calculations!AF41</f>
        <v>0.2409194160502762</v>
      </c>
      <c r="D31" s="48">
        <f>Z1_Equipment_Calculations!AJ41</f>
        <v>0.94578731745646449</v>
      </c>
      <c r="E31" s="48">
        <f>Z1_Equipment_Calculations!AM41</f>
        <v>2.3102735119725284</v>
      </c>
      <c r="F31" s="53">
        <f t="shared" si="1"/>
        <v>8.2835069436099644</v>
      </c>
      <c r="G31" s="62">
        <f>IF(Machine!$B41&gt;0,B31/Machine!$B41," ")</f>
        <v>4.7865266981306949</v>
      </c>
      <c r="H31" s="48">
        <f>IF(Machine!$B41&gt;0,C31/Machine!$B41," ")</f>
        <v>0.2409194160502762</v>
      </c>
      <c r="I31" s="48">
        <f>IF(Machine!$B41&gt;0,D31/Machine!$B41," ")</f>
        <v>0.94578731745646449</v>
      </c>
      <c r="J31" s="48">
        <f>IF(Machine!$B41&gt;0,E31/Machine!$B41," ")</f>
        <v>2.3102735119725284</v>
      </c>
      <c r="K31" s="53">
        <f>IF(Machine!$B41&gt;0,F31/Machine!$B41," ")</f>
        <v>8.2835069436099644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0</v>
      </c>
      <c r="C33" s="48">
        <f>Z1_Equipment_Calculations!AC43+Z1_Equipment_Calculations!AF43</f>
        <v>0</v>
      </c>
      <c r="D33" s="48">
        <f>Z1_Equipment_Calculations!AJ43</f>
        <v>0</v>
      </c>
      <c r="E33" s="48">
        <f>Z1_Equipment_Calculations!AM43</f>
        <v>0</v>
      </c>
      <c r="F33" s="53">
        <f t="shared" si="1"/>
        <v>0</v>
      </c>
      <c r="G33" s="62" t="str">
        <f>IF(Machine!$B43&gt;0,B33/Machine!$B43," ")</f>
        <v xml:space="preserve"> </v>
      </c>
      <c r="H33" s="48" t="str">
        <f>IF(Machine!$B43&gt;0,C33/Machine!$B43," ")</f>
        <v xml:space="preserve"> </v>
      </c>
      <c r="I33" s="48" t="str">
        <f>IF(Machine!$B43&gt;0,D33/Machine!$B43," ")</f>
        <v xml:space="preserve"> </v>
      </c>
      <c r="J33" s="48" t="str">
        <f>IF(Machine!$B43&gt;0,E33/Machine!$B43," ")</f>
        <v xml:space="preserve"> </v>
      </c>
      <c r="K33" s="53" t="str">
        <f>IF(Machine!$B43&gt;0,F33/Machine!$B43," ")</f>
        <v xml:space="preserve"> 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</v>
      </c>
      <c r="C36" s="48">
        <f>Z1_Equipment_Calculations!AC46+Z1_Equipment_Calculations!AF46</f>
        <v>0</v>
      </c>
      <c r="D36" s="48">
        <f>Z1_Equipment_Calculations!AJ46</f>
        <v>0</v>
      </c>
      <c r="E36" s="48">
        <f>Z1_Equipment_Calculations!AM46</f>
        <v>0</v>
      </c>
      <c r="F36" s="53">
        <f t="shared" si="1"/>
        <v>0</v>
      </c>
      <c r="G36" s="62" t="str">
        <f>IF(Machine!$B46&gt;0,B36/Machine!$B46," ")</f>
        <v xml:space="preserve"> </v>
      </c>
      <c r="H36" s="48" t="str">
        <f>IF(Machine!$B46&gt;0,C36/Machine!$B46," ")</f>
        <v xml:space="preserve"> </v>
      </c>
      <c r="I36" s="48" t="str">
        <f>IF(Machine!$B46&gt;0,D36/Machine!$B46," ")</f>
        <v xml:space="preserve"> </v>
      </c>
      <c r="J36" s="48" t="str">
        <f>IF(Machine!$B46&gt;0,E36/Machine!$B46," ")</f>
        <v xml:space="preserve"> </v>
      </c>
      <c r="K36" s="53" t="str">
        <f>IF(Machine!$B46&gt;0,F36/Machine!$B46," ")</f>
        <v xml:space="preserve"> 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0</v>
      </c>
      <c r="C37" s="48">
        <f>Z1_Equipment_Calculations!AC47+Z1_Equipment_Calculations!AF47</f>
        <v>0</v>
      </c>
      <c r="D37" s="48">
        <f>Z1_Equipment_Calculations!AJ47</f>
        <v>0</v>
      </c>
      <c r="E37" s="48">
        <f>Z1_Equipment_Calculations!AM47</f>
        <v>0</v>
      </c>
      <c r="F37" s="53">
        <f t="shared" si="1"/>
        <v>0</v>
      </c>
      <c r="G37" s="62" t="str">
        <f>IF(Machine!$B47&gt;0,B37/Machine!$B47," ")</f>
        <v xml:space="preserve"> </v>
      </c>
      <c r="H37" s="48" t="str">
        <f>IF(Machine!$B47&gt;0,C37/Machine!$B47," ")</f>
        <v xml:space="preserve"> </v>
      </c>
      <c r="I37" s="48" t="str">
        <f>IF(Machine!$B47&gt;0,D37/Machine!$B47," ")</f>
        <v xml:space="preserve"> </v>
      </c>
      <c r="J37" s="48" t="str">
        <f>IF(Machine!$B47&gt;0,E37/Machine!$B47," ")</f>
        <v xml:space="preserve"> </v>
      </c>
      <c r="K37" s="53" t="str">
        <f>IF(Machine!$B47&gt;0,F37/Machine!$B47," ")</f>
        <v xml:space="preserve"> 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0</v>
      </c>
      <c r="C38" s="48">
        <f>Z1_Equipment_Calculations!AC48+Z1_Equipment_Calculations!AF48</f>
        <v>0</v>
      </c>
      <c r="D38" s="48">
        <f>Z1_Equipment_Calculations!AJ48</f>
        <v>0</v>
      </c>
      <c r="E38" s="48">
        <f>Z1_Equipment_Calculations!AM48</f>
        <v>0</v>
      </c>
      <c r="F38" s="53">
        <f>SUM(B38:E38)</f>
        <v>0</v>
      </c>
      <c r="G38" s="62" t="str">
        <f>IF(Machine!$B48&gt;0,B38/Machine!$B48," ")</f>
        <v xml:space="preserve"> </v>
      </c>
      <c r="H38" s="48" t="str">
        <f>IF(Machine!$B48&gt;0,C38/Machine!$B48," ")</f>
        <v xml:space="preserve"> </v>
      </c>
      <c r="I38" s="48" t="str">
        <f>IF(Machine!$B48&gt;0,D38/Machine!$B48," ")</f>
        <v xml:space="preserve"> </v>
      </c>
      <c r="J38" s="48" t="str">
        <f>IF(Machine!$B48&gt;0,E38/Machine!$B48," ")</f>
        <v xml:space="preserve"> </v>
      </c>
      <c r="K38" s="53" t="str">
        <f>IF(Machine!$B48&gt;0,F38/Machine!$B48," ")</f>
        <v xml:space="preserve"> 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0</v>
      </c>
      <c r="C39" s="48">
        <f>Z1_Equipment_Calculations!AC49+Z1_Equipment_Calculations!AF49</f>
        <v>0</v>
      </c>
      <c r="D39" s="48">
        <f>Z1_Equipment_Calculations!AJ49</f>
        <v>0</v>
      </c>
      <c r="E39" s="48">
        <f>Z1_Equipment_Calculations!AM49</f>
        <v>0</v>
      </c>
      <c r="F39" s="53">
        <f>SUM(B39:E39)</f>
        <v>0</v>
      </c>
      <c r="G39" s="62" t="str">
        <f>IF(Machine!$B49&gt;0,B39/Machine!$B49," ")</f>
        <v xml:space="preserve"> </v>
      </c>
      <c r="H39" s="48" t="str">
        <f>IF(Machine!$B49&gt;0,C39/Machine!$B49," ")</f>
        <v xml:space="preserve"> </v>
      </c>
      <c r="I39" s="48" t="str">
        <f>IF(Machine!$B49&gt;0,D39/Machine!$B49," ")</f>
        <v xml:space="preserve"> </v>
      </c>
      <c r="J39" s="48" t="str">
        <f>IF(Machine!$B49&gt;0,E39/Machine!$B49," ")</f>
        <v xml:space="preserve"> </v>
      </c>
      <c r="K39" s="53" t="str">
        <f>IF(Machine!$B49&gt;0,F39/Machine!$B49," ")</f>
        <v xml:space="preserve"> 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7.7996888795106489</v>
      </c>
      <c r="C41" s="48">
        <f>Z1_Equipment_Calculations!AC51+Z1_Equipment_Calculations!AF51</f>
        <v>1.7917084821428573</v>
      </c>
      <c r="D41" s="48">
        <f>Z1_Equipment_Calculations!AJ51</f>
        <v>1.5547419642857141</v>
      </c>
      <c r="E41" s="48">
        <f>Z1_Equipment_Calculations!AM51</f>
        <v>1.2016272321428572</v>
      </c>
      <c r="F41" s="53">
        <f t="shared" si="1"/>
        <v>12.347766558082078</v>
      </c>
      <c r="G41" s="62">
        <f>IF(Machine!$B51&gt;0,B41/Machine!$B51," ")</f>
        <v>7.7996888795106489</v>
      </c>
      <c r="H41" s="48">
        <f>IF(Machine!$B51&gt;0,C41/Machine!$B51," ")</f>
        <v>1.7917084821428573</v>
      </c>
      <c r="I41" s="48">
        <f>IF(Machine!$B51&gt;0,D41/Machine!$B51," ")</f>
        <v>1.5547419642857141</v>
      </c>
      <c r="J41" s="48">
        <f>IF(Machine!$B51&gt;0,E41/Machine!$B51," ")</f>
        <v>1.2016272321428572</v>
      </c>
      <c r="K41" s="53">
        <f>IF(Machine!$B51&gt;0,F41/Machine!$B51," ")</f>
        <v>12.347766558082078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0</v>
      </c>
      <c r="C42" s="48">
        <f>Z1_Equipment_Calculations!AC52+Z1_Equipment_Calculations!AF52</f>
        <v>0</v>
      </c>
      <c r="D42" s="48">
        <f>Z1_Equipment_Calculations!AJ52</f>
        <v>0</v>
      </c>
      <c r="E42" s="48">
        <f>Z1_Equipment_Calculations!AM52</f>
        <v>0</v>
      </c>
      <c r="F42" s="53">
        <f>SUM(B42:E42)</f>
        <v>0</v>
      </c>
      <c r="G42" s="62" t="str">
        <f>IF(Machine!$B52&gt;0,B42/Machine!$B52," ")</f>
        <v xml:space="preserve"> </v>
      </c>
      <c r="H42" s="48" t="str">
        <f>IF(Machine!$B52&gt;0,C42/Machine!$B52," ")</f>
        <v xml:space="preserve"> </v>
      </c>
      <c r="I42" s="48" t="str">
        <f>IF(Machine!$B52&gt;0,D42/Machine!$B52," ")</f>
        <v xml:space="preserve"> </v>
      </c>
      <c r="J42" s="48" t="str">
        <f>IF(Machine!$B52&gt;0,E42/Machine!$B52," ")</f>
        <v xml:space="preserve"> </v>
      </c>
      <c r="K42" s="53" t="str">
        <f>IF(Machine!$B52&gt;0,F42/Machine!$B52," ")</f>
        <v xml:space="preserve"> 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48.436327390788669</v>
      </c>
      <c r="C45" s="77">
        <f>SUM(C4:C44)</f>
        <v>7.7400220950298975</v>
      </c>
      <c r="D45" s="77">
        <f>SUM(D4:D44)</f>
        <v>8.6170297793096253</v>
      </c>
      <c r="E45" s="77">
        <f>SUM(E4:E44)</f>
        <v>7.5437083631819055</v>
      </c>
      <c r="F45" s="77">
        <f>SUM(F4:F44)</f>
        <v>72.337087628310101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116.50276396791389</v>
      </c>
      <c r="C57" s="75">
        <f>Z1_Equipment_Calculations!AC67+Z1_Equipment_Calculations!AF67</f>
        <v>22.071246037002044</v>
      </c>
      <c r="D57" s="75">
        <f>Z1_Equipment_Calculations!AJ67</f>
        <v>8.3686519956489001</v>
      </c>
      <c r="E57" s="75">
        <f>Z1_Equipment_Calculations!AM67</f>
        <v>2.2727089783281738</v>
      </c>
      <c r="F57" s="76">
        <f>SUM(B57:E57)</f>
        <v>149.21537097889302</v>
      </c>
      <c r="G57" s="74">
        <f>IF(Machine!$B67&gt;0,B57/Machine!$B67," ")</f>
        <v>116.50276396791389</v>
      </c>
      <c r="H57" s="75">
        <f>IF(Machine!$B67&gt;0,C57/Machine!$B67," ")</f>
        <v>22.071246037002044</v>
      </c>
      <c r="I57" s="75">
        <f>IF(Machine!$B67&gt;0,D57/Machine!$B67," ")</f>
        <v>8.3686519956489001</v>
      </c>
      <c r="J57" s="75">
        <f>IF(Machine!$B67&gt;0,E57/Machine!$B67," ")</f>
        <v>2.2727089783281738</v>
      </c>
      <c r="K57" s="76">
        <f>IF(Machine!$B67&gt;0,F57/Machine!$B67," ")</f>
        <v>149.21537097889302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2.0662526567642967</v>
      </c>
      <c r="C58" s="72">
        <f>Z1_Equipment_Calculations!AC68+Z1_Equipment_Calculations!AF68</f>
        <v>4.7676516646750648E-2</v>
      </c>
      <c r="D58" s="72">
        <f>Z1_Equipment_Calculations!AJ68</f>
        <v>0.14570420885281568</v>
      </c>
      <c r="E58" s="72">
        <f>Z1_Equipment_Calculations!AM68</f>
        <v>0.11363544891640869</v>
      </c>
      <c r="F58" s="73">
        <f>SUM(B58:E58)</f>
        <v>2.3732688311802721</v>
      </c>
      <c r="G58" s="71">
        <f>IF(Machine!$B68&gt;0,B58/Machine!$B68," ")</f>
        <v>2.0662526567642967</v>
      </c>
      <c r="H58" s="72">
        <f>IF(Machine!$B68&gt;0,C58/Machine!$B68," ")</f>
        <v>4.7676516646750648E-2</v>
      </c>
      <c r="I58" s="72">
        <f>IF(Machine!$B68&gt;0,D58/Machine!$B68," ")</f>
        <v>0.14570420885281568</v>
      </c>
      <c r="J58" s="72">
        <f>IF(Machine!$B68&gt;0,E58/Machine!$B68," ")</f>
        <v>0.11363544891640869</v>
      </c>
      <c r="K58" s="73">
        <f>IF(Machine!$B68&gt;0,F58/Machine!$B68," ")</f>
        <v>2.3732688311802721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0</v>
      </c>
      <c r="C59" s="75">
        <f>Z1_Equipment_Calculations!AC69+Z1_Equipment_Calculations!AF69</f>
        <v>0</v>
      </c>
      <c r="D59" s="75">
        <f>Z1_Equipment_Calculations!AJ69</f>
        <v>0</v>
      </c>
      <c r="E59" s="75">
        <f>Z1_Equipment_Calculations!AM69</f>
        <v>0</v>
      </c>
      <c r="F59" s="75">
        <f t="shared" si="2"/>
        <v>0</v>
      </c>
      <c r="G59" s="74" t="str">
        <f>IF(Machine!$B69&gt;0,B59/Machine!$B69," ")</f>
        <v xml:space="preserve"> </v>
      </c>
      <c r="H59" s="75" t="str">
        <f>IF(Machine!$B69&gt;0,C59/Machine!$B69," ")</f>
        <v xml:space="preserve"> </v>
      </c>
      <c r="I59" s="75" t="str">
        <f>IF(Machine!$B69&gt;0,D59/Machine!$B69," ")</f>
        <v xml:space="preserve"> </v>
      </c>
      <c r="J59" s="75" t="str">
        <f>IF(Machine!$B69&gt;0,E59/Machine!$B69," ")</f>
        <v xml:space="preserve"> </v>
      </c>
      <c r="K59" s="76" t="str">
        <f>IF(Machine!$B69&gt;0,F59/Machine!$B69," ")</f>
        <v xml:space="preserve"> </v>
      </c>
      <c r="L59" s="638">
        <f>Z1_Equipment_Calculations!N69</f>
        <v>8.484848484848484E-2</v>
      </c>
      <c r="M59" s="639">
        <f>Z1_Equipment_Calculations!O69</f>
        <v>11.785714285714286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0</v>
      </c>
      <c r="C61" s="48">
        <f>Z1_Equipment_Calculations!AC71+Z1_Equipment_Calculations!AF71</f>
        <v>0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0</v>
      </c>
      <c r="G61" s="62" t="str">
        <f>IF(Machine!$B71&gt;0,B61/Machine!$B71," ")</f>
        <v xml:space="preserve"> </v>
      </c>
      <c r="H61" s="48" t="str">
        <f>IF(Machine!$B71&gt;0,C61/Machine!$B71," ")</f>
        <v xml:space="preserve"> </v>
      </c>
      <c r="I61" s="48" t="str">
        <f>IF(Machine!$B71&gt;0,D61/Machine!$B71," ")</f>
        <v xml:space="preserve"> </v>
      </c>
      <c r="J61" s="48" t="str">
        <f>IF(Machine!$B71&gt;0,E61/Machine!$B71," ")</f>
        <v xml:space="preserve"> </v>
      </c>
      <c r="K61" s="53" t="str">
        <f>IF(Machine!$B71&gt;0,F61/Machine!$B71," ")</f>
        <v xml:space="preserve"> 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0</v>
      </c>
      <c r="C62" s="48">
        <f>Z1_Equipment_Calculations!AC72+Z1_Equipment_Calculations!AF72</f>
        <v>0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0</v>
      </c>
      <c r="G62" s="62" t="str">
        <f>IF(Machine!$B72&gt;0,B62/Machine!$B72," ")</f>
        <v xml:space="preserve"> </v>
      </c>
      <c r="H62" s="48" t="str">
        <f>IF(Machine!$B72&gt;0,C62/Machine!$B72," ")</f>
        <v xml:space="preserve"> </v>
      </c>
      <c r="I62" s="48" t="str">
        <f>IF(Machine!$B72&gt;0,D62/Machine!$B72," ")</f>
        <v xml:space="preserve"> </v>
      </c>
      <c r="J62" s="48" t="str">
        <f>IF(Machine!$B72&gt;0,E62/Machine!$B72," ")</f>
        <v xml:space="preserve"> </v>
      </c>
      <c r="K62" s="53" t="str">
        <f>IF(Machine!$B72&gt;0,F62/Machine!$B72," ")</f>
        <v xml:space="preserve"> 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0</v>
      </c>
      <c r="C63" s="48">
        <f>Z1_Equipment_Calculations!AC73+Z1_Equipment_Calculations!AF73</f>
        <v>0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0</v>
      </c>
      <c r="G63" s="62" t="str">
        <f>IF(Machine!$B73&gt;0,B63/Machine!$B73," ")</f>
        <v xml:space="preserve"> </v>
      </c>
      <c r="H63" s="48" t="str">
        <f>IF(Machine!$B73&gt;0,C63/Machine!$B73," ")</f>
        <v xml:space="preserve"> </v>
      </c>
      <c r="I63" s="48" t="str">
        <f>IF(Machine!$B73&gt;0,D63/Machine!$B73," ")</f>
        <v xml:space="preserve"> </v>
      </c>
      <c r="J63" s="48" t="str">
        <f>IF(Machine!$B73&gt;0,E63/Machine!$B73," ")</f>
        <v xml:space="preserve"> </v>
      </c>
      <c r="K63" s="53" t="str">
        <f>IF(Machine!$B73&gt;0,F63/Machine!$B73," ")</f>
        <v xml:space="preserve"> 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0</v>
      </c>
      <c r="C64" s="72">
        <f>Z1_Equipment_Calculations!AC74+Z1_Equipment_Calculations!AF74</f>
        <v>0</v>
      </c>
      <c r="D64" s="72">
        <f>Z1_Equipment_Calculations!AJ74</f>
        <v>0</v>
      </c>
      <c r="E64" s="72">
        <f>Z1_Equipment_Calculations!AM74</f>
        <v>0</v>
      </c>
      <c r="F64" s="72">
        <f t="shared" si="2"/>
        <v>0</v>
      </c>
      <c r="G64" s="71" t="str">
        <f>IF(Machine!$B74&gt;0,B64/Machine!$B74," ")</f>
        <v xml:space="preserve"> </v>
      </c>
      <c r="H64" s="72" t="str">
        <f>IF(Machine!$B74&gt;0,C64/Machine!$B74," ")</f>
        <v xml:space="preserve"> </v>
      </c>
      <c r="I64" s="72" t="str">
        <f>IF(Machine!$B74&gt;0,D64/Machine!$B74," ")</f>
        <v xml:space="preserve"> </v>
      </c>
      <c r="J64" s="72" t="str">
        <f>IF(Machine!$B74&gt;0,E64/Machine!$B74," ")</f>
        <v xml:space="preserve"> </v>
      </c>
      <c r="K64" s="73" t="str">
        <f>IF(Machine!$B74&gt;0,F64/Machine!$B74," ")</f>
        <v xml:space="preserve"> 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0</v>
      </c>
      <c r="C66" s="48">
        <f>Z1_Equipment_Calculations!AC76+Z1_Equipment_Calculations!AF76</f>
        <v>0</v>
      </c>
      <c r="D66" s="48">
        <f>Z1_Equipment_Calculations!AJ76</f>
        <v>0</v>
      </c>
      <c r="E66" s="48">
        <f>Z1_Equipment_Calculations!AM76</f>
        <v>0</v>
      </c>
      <c r="F66" s="53">
        <f t="shared" si="3"/>
        <v>0</v>
      </c>
      <c r="G66" s="62" t="str">
        <f>IF(Machine!$B76&gt;0,B66/Machine!$B76," ")</f>
        <v xml:space="preserve"> </v>
      </c>
      <c r="H66" s="48" t="str">
        <f>IF(Machine!$B76&gt;0,C66/Machine!$B76," ")</f>
        <v xml:space="preserve"> </v>
      </c>
      <c r="I66" s="48" t="str">
        <f>IF(Machine!$B76&gt;0,D66/Machine!$B76," ")</f>
        <v xml:space="preserve"> </v>
      </c>
      <c r="J66" s="48" t="str">
        <f>IF(Machine!$B76&gt;0,E66/Machine!$B76," ")</f>
        <v xml:space="preserve"> </v>
      </c>
      <c r="K66" s="53" t="str">
        <f>IF(Machine!$B76&gt;0,F66/Machine!$B76," ")</f>
        <v xml:space="preserve"> 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0</v>
      </c>
      <c r="C67" s="48">
        <f>Z1_Equipment_Calculations!AC77+Z1_Equipment_Calculations!AF77</f>
        <v>0</v>
      </c>
      <c r="D67" s="48">
        <f>Z1_Equipment_Calculations!AJ77</f>
        <v>0</v>
      </c>
      <c r="E67" s="48">
        <f>Z1_Equipment_Calculations!AM77</f>
        <v>0</v>
      </c>
      <c r="F67" s="53">
        <f t="shared" si="3"/>
        <v>0</v>
      </c>
      <c r="G67" s="62" t="str">
        <f>IF(Machine!$B77&gt;0,B67/Machine!$B77," ")</f>
        <v xml:space="preserve"> </v>
      </c>
      <c r="H67" s="48" t="str">
        <f>IF(Machine!$B77&gt;0,C67/Machine!$B77," ")</f>
        <v xml:space="preserve"> </v>
      </c>
      <c r="I67" s="48" t="str">
        <f>IF(Machine!$B77&gt;0,D67/Machine!$B77," ")</f>
        <v xml:space="preserve"> </v>
      </c>
      <c r="J67" s="48" t="str">
        <f>IF(Machine!$B77&gt;0,E67/Machine!$B77," ")</f>
        <v xml:space="preserve"> </v>
      </c>
      <c r="K67" s="53" t="str">
        <f>IF(Machine!$B77&gt;0,F67/Machine!$B77," ")</f>
        <v xml:space="preserve"> 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118.56901662467818</v>
      </c>
      <c r="C72" s="77">
        <f>SUM(C54:C71)</f>
        <v>22.118922553648794</v>
      </c>
      <c r="D72" s="77">
        <f>SUM(D54:D71)</f>
        <v>8.5143562045017163</v>
      </c>
      <c r="E72" s="77">
        <f>SUM(E54:E71)</f>
        <v>2.3863444272445826</v>
      </c>
      <c r="F72" s="77">
        <f>SUM(F54:F71)</f>
        <v>151.58863981007329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167.00534401546685</v>
      </c>
      <c r="C74" s="77">
        <f>C45+C51+C72</f>
        <v>29.85894464867869</v>
      </c>
      <c r="D74" s="77">
        <f>D45+D51+D72</f>
        <v>17.131385983811342</v>
      </c>
      <c r="E74" s="77">
        <f>E45+E51+E72</f>
        <v>9.9300527904264886</v>
      </c>
      <c r="F74" s="77">
        <f>F45+F51+F72</f>
        <v>223.92572743838338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38.155984089812883</v>
      </c>
      <c r="C76" s="77">
        <f>Budget!F30</f>
        <v>4.5193750000000001</v>
      </c>
      <c r="D76" s="77">
        <f>Budget!F29</f>
        <v>34.86698941353383</v>
      </c>
      <c r="E76" s="77">
        <f>'C2_Irrigation_Calculations'!M41*Budget!E33</f>
        <v>0.5872679999999999</v>
      </c>
      <c r="F76" s="77">
        <f>SUM(B76:E76)</f>
        <v>78.12961650334671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33.394609856019187</v>
      </c>
      <c r="D59" s="1288">
        <f>SUM(Z2_Machine_Custom_Calculations!W69:Y69)</f>
        <v>4.4113803439153436</v>
      </c>
      <c r="E59" s="1288">
        <f>Z2_Machine_Custom_Calculations!AC69+Z2_Machine_Custom_Calculations!AF69</f>
        <v>7.067300043312672</v>
      </c>
      <c r="F59" s="1288">
        <f>Z2_Machine_Custom_Calculations!AJ69</f>
        <v>3.0710952380952374</v>
      </c>
      <c r="G59" s="1288">
        <f>Z2_Machine_Custom_Calculations!AM69</f>
        <v>1.4370976190476192</v>
      </c>
      <c r="H59" s="1289">
        <f t="shared" si="10"/>
        <v>49.381483100390057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38.128600828301423</v>
      </c>
      <c r="T60" s="1292">
        <f t="shared" si="18"/>
        <v>5.036733801058201</v>
      </c>
      <c r="U60" s="1292">
        <f t="shared" si="18"/>
        <v>10.492401891079709</v>
      </c>
      <c r="V60" s="1292">
        <f t="shared" si="18"/>
        <v>3.0710952380952374</v>
      </c>
      <c r="W60" s="1292">
        <f t="shared" si="18"/>
        <v>1.4370976190476192</v>
      </c>
      <c r="X60" s="1292">
        <f t="shared" si="18"/>
        <v>58.165929377582188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35.373884432059299</v>
      </c>
      <c r="T61" s="1292">
        <f t="shared" si="18"/>
        <v>4.6728396931216931</v>
      </c>
      <c r="U61" s="1292">
        <f t="shared" si="18"/>
        <v>8.4993300254833102</v>
      </c>
      <c r="V61" s="1292">
        <f t="shared" si="18"/>
        <v>3.0710952380952374</v>
      </c>
      <c r="W61" s="1292">
        <f t="shared" si="18"/>
        <v>1.4370976190476192</v>
      </c>
      <c r="X61" s="1292">
        <f t="shared" si="18"/>
        <v>53.054247007807156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39.787937870132303</v>
      </c>
      <c r="T62" s="1292">
        <f t="shared" si="18"/>
        <v>5.2559298582010578</v>
      </c>
      <c r="U62" s="1292">
        <f t="shared" si="18"/>
        <v>11.692953054214545</v>
      </c>
      <c r="V62" s="1292">
        <f t="shared" si="18"/>
        <v>3.0710952380952374</v>
      </c>
      <c r="W62" s="1292">
        <f t="shared" si="18"/>
        <v>1.4370976190476192</v>
      </c>
      <c r="X62" s="1292">
        <f t="shared" si="18"/>
        <v>61.245013639690761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35.085320917548557</v>
      </c>
      <c r="T63" s="1292">
        <f t="shared" si="18"/>
        <v>4.6347208643235067</v>
      </c>
      <c r="U63" s="1292">
        <f t="shared" si="18"/>
        <v>8.2905507032294707</v>
      </c>
      <c r="V63" s="1292">
        <f t="shared" si="18"/>
        <v>3.0710952380952374</v>
      </c>
      <c r="W63" s="1292">
        <f t="shared" si="18"/>
        <v>1.4370976190476192</v>
      </c>
      <c r="X63" s="1292">
        <f t="shared" si="18"/>
        <v>52.518785342244385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7.7957840494895585</v>
      </c>
      <c r="D64" s="1298">
        <f>SUM(Z2_Machine_Custom_Calculations!W74:Y74)</f>
        <v>1.1607386243386242</v>
      </c>
      <c r="E64" s="1298">
        <f>Z2_Machine_Custom_Calculations!AC74+Z2_Machine_Custom_Calculations!AF74</f>
        <v>1.7556931456924274</v>
      </c>
      <c r="F64" s="1298">
        <f>Z2_Machine_Custom_Calculations!AJ74</f>
        <v>1.8426571428571425</v>
      </c>
      <c r="G64" s="1298">
        <f>Z2_Machine_Custom_Calculations!AM74</f>
        <v>1.4370976190476192</v>
      </c>
      <c r="H64" s="1299">
        <f t="shared" si="10"/>
        <v>13.991970581425372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7.7957840494895585</v>
      </c>
      <c r="T64" s="1292">
        <f t="shared" si="19"/>
        <v>1.1607386243386242</v>
      </c>
      <c r="U64" s="1292">
        <f t="shared" si="19"/>
        <v>1.7556931456924274</v>
      </c>
      <c r="V64" s="1292">
        <f t="shared" si="19"/>
        <v>1.8426571428571425</v>
      </c>
      <c r="W64" s="1292">
        <f t="shared" si="19"/>
        <v>1.4370976190476192</v>
      </c>
      <c r="X64" s="1292">
        <f t="shared" si="19"/>
        <v>13.991970581425372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0</v>
      </c>
      <c r="I2" s="1127">
        <f>IF(A2_Budget_Look_Up!$C$4=I122,1,0)</f>
        <v>0</v>
      </c>
      <c r="J2" s="1127">
        <f>IF(A2_Budget_Look_Up!$C$4=J122,1,0)</f>
        <v>1</v>
      </c>
      <c r="K2" s="1127">
        <f>IF(A2_Budget_Look_Up!$C$4=K122,1,0)</f>
        <v>0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0</v>
      </c>
      <c r="P2" s="1127">
        <f>IF(A2_Budget_Look_Up!$C$4=P122,1,0)</f>
        <v>0</v>
      </c>
      <c r="Q2" s="1127">
        <f>IF(A2_Budget_Look_Up!$C$4=Q122,1,0)</f>
        <v>0</v>
      </c>
      <c r="R2" s="1127">
        <f>IF(A2_Budget_Look_Up!$C$4=R122,1,0)</f>
        <v>0</v>
      </c>
      <c r="S2" s="1127">
        <f>IF(A2_Budget_Look_Up!$C$4=S122,1,0)</f>
        <v>0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0</v>
      </c>
      <c r="X2" s="1127">
        <f>IF(A2_Budget_Look_Up!$C$4=X122,1,0)</f>
        <v>0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0</v>
      </c>
      <c r="AG2" s="1127">
        <f>IF(A2_Budget_Look_Up!$C$4=AG122,1,0)</f>
        <v>0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 t="str">
        <f>IF(H2&gt;0,A2_Budget_Look_Up!$C$4," ")</f>
        <v xml:space="preserve"> </v>
      </c>
      <c r="BH2" s="1078" t="str">
        <f>IF(I2&gt;0,A2_Budget_Look_Up!$C$4," ")</f>
        <v xml:space="preserve"> </v>
      </c>
      <c r="BI2" s="1078">
        <f>IF(J2&gt;0,A2_Budget_Look_Up!$C$4," ")</f>
        <v>7</v>
      </c>
      <c r="BJ2" s="1078" t="str">
        <f>IF(K2&gt;0,A2_Budget_Look_Up!$C$4," ")</f>
        <v xml:space="preserve"> 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 t="str">
        <f>IF(O2&gt;0,A2_Budget_Look_Up!$C$4," ")</f>
        <v xml:space="preserve"> </v>
      </c>
      <c r="BO2" s="1078" t="str">
        <f>IF(P2&gt;0,A2_Budget_Look_Up!$C$4," ")</f>
        <v xml:space="preserve"> </v>
      </c>
      <c r="BP2" s="1078" t="str">
        <f>IF(Q2&gt;0,A2_Budget_Look_Up!$C$4," ")</f>
        <v xml:space="preserve"> </v>
      </c>
      <c r="BQ2" s="1078" t="str">
        <f>IF(R2&gt;0,A2_Budget_Look_Up!$C$4," ")</f>
        <v xml:space="preserve"> </v>
      </c>
      <c r="BR2" s="1078" t="str">
        <f>IF(S2&gt;0,A2_Budget_Look_Up!$C$4," ")</f>
        <v xml:space="preserve"> 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 t="str">
        <f>IF(W2&gt;0,A2_Budget_Look_Up!$C$4," ")</f>
        <v xml:space="preserve"> </v>
      </c>
      <c r="BW2" s="1078" t="str">
        <f>IF(X2&gt;0,A2_Budget_Look_Up!$C$4," ")</f>
        <v xml:space="preserve"> 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 t="str">
        <f>IF(AF2&gt;0,A2_Budget_Look_Up!$C$4," ")</f>
        <v xml:space="preserve"> </v>
      </c>
      <c r="CF2" s="1078" t="str">
        <f>IF(AG2&gt;0,A2_Budget_Look_Up!$C$4," ")</f>
        <v xml:space="preserve"> 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1200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0</v>
      </c>
      <c r="BG4" s="1023">
        <f t="shared" si="5"/>
        <v>0</v>
      </c>
      <c r="BH4" s="1023">
        <f t="shared" si="5"/>
        <v>0</v>
      </c>
      <c r="BI4" s="1023">
        <f t="shared" si="5"/>
        <v>1200</v>
      </c>
      <c r="BJ4" s="1023">
        <f t="shared" si="5"/>
        <v>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0</v>
      </c>
      <c r="BO4" s="1023">
        <f t="shared" si="6"/>
        <v>0</v>
      </c>
      <c r="BP4" s="1023">
        <f t="shared" si="6"/>
        <v>0</v>
      </c>
      <c r="BQ4" s="1023">
        <f t="shared" si="6"/>
        <v>0</v>
      </c>
      <c r="BR4" s="1023">
        <f t="shared" si="6"/>
        <v>0</v>
      </c>
      <c r="BS4" s="1023">
        <f t="shared" si="6"/>
        <v>0</v>
      </c>
      <c r="BT4" s="1023">
        <f t="shared" si="6"/>
        <v>0</v>
      </c>
      <c r="BU4" s="1023">
        <f t="shared" si="6"/>
        <v>0</v>
      </c>
      <c r="BV4" s="1023">
        <f t="shared" si="6"/>
        <v>0</v>
      </c>
      <c r="BW4" s="1023">
        <f t="shared" ref="BW4:CA6" si="7">IF(X$2=1,X4,0)</f>
        <v>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0</v>
      </c>
      <c r="CF4" s="1033">
        <f t="shared" si="9"/>
        <v>0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0.69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</v>
      </c>
      <c r="BG5" s="1033">
        <f t="shared" si="5"/>
        <v>0</v>
      </c>
      <c r="BH5" s="1033">
        <f t="shared" si="5"/>
        <v>0</v>
      </c>
      <c r="BI5" s="1033">
        <f t="shared" si="5"/>
        <v>0.69</v>
      </c>
      <c r="BJ5" s="1033">
        <f t="shared" si="5"/>
        <v>0</v>
      </c>
      <c r="BK5" s="1033">
        <f t="shared" si="5"/>
        <v>0</v>
      </c>
      <c r="BL5" s="1033">
        <f t="shared" si="5"/>
        <v>0</v>
      </c>
      <c r="BM5" s="1033">
        <f t="shared" si="6"/>
        <v>0</v>
      </c>
      <c r="BN5" s="1033">
        <f t="shared" si="6"/>
        <v>0</v>
      </c>
      <c r="BO5" s="1033">
        <f t="shared" si="6"/>
        <v>0</v>
      </c>
      <c r="BP5" s="1033">
        <f t="shared" si="6"/>
        <v>0</v>
      </c>
      <c r="BQ5" s="1033">
        <f t="shared" si="6"/>
        <v>0</v>
      </c>
      <c r="BR5" s="1033">
        <f t="shared" si="6"/>
        <v>0</v>
      </c>
      <c r="BS5" s="1033">
        <f t="shared" si="6"/>
        <v>0</v>
      </c>
      <c r="BT5" s="1033">
        <f t="shared" si="6"/>
        <v>0</v>
      </c>
      <c r="BU5" s="1033">
        <f t="shared" si="6"/>
        <v>0</v>
      </c>
      <c r="BV5" s="1033">
        <f t="shared" si="6"/>
        <v>0</v>
      </c>
      <c r="BW5" s="1033">
        <f t="shared" si="7"/>
        <v>0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0</v>
      </c>
      <c r="CF5" s="1033">
        <f t="shared" si="9"/>
        <v>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275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0</v>
      </c>
      <c r="BH9" s="1028">
        <f t="shared" ref="BH9:BH19" si="18">IF(I$2=1,I9,0)</f>
        <v>0</v>
      </c>
      <c r="BI9" s="1028">
        <f t="shared" ref="BI9:BI19" si="19">IF(J$2=1,J9,0)</f>
        <v>275</v>
      </c>
      <c r="BJ9" s="1028">
        <f t="shared" ref="BJ9:BJ19" si="20">IF(K$2=1,K9,0)</f>
        <v>0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0</v>
      </c>
      <c r="BO9" s="1028">
        <f t="shared" ref="BO9:BO19" si="25">IF(P$2=1,P9,0)</f>
        <v>0</v>
      </c>
      <c r="BP9" s="1028">
        <f t="shared" ref="BP9:BP20" si="26">IF(Q$2=1,Q9,0)</f>
        <v>0</v>
      </c>
      <c r="BQ9" s="1028">
        <f t="shared" ref="BQ9:BQ19" si="27">IF(R$2=1,R9,0)</f>
        <v>0</v>
      </c>
      <c r="BR9" s="1028">
        <f t="shared" ref="BR9:BR19" si="28">IF(S$2=1,S9,0)</f>
        <v>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100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0</v>
      </c>
      <c r="BG14" s="1028">
        <f t="shared" si="17"/>
        <v>0</v>
      </c>
      <c r="BH14" s="1028">
        <f t="shared" si="18"/>
        <v>0</v>
      </c>
      <c r="BI14" s="1028">
        <f t="shared" si="19"/>
        <v>100</v>
      </c>
      <c r="BJ14" s="1028">
        <f t="shared" si="20"/>
        <v>0</v>
      </c>
      <c r="BK14" s="1028">
        <f t="shared" si="21"/>
        <v>0</v>
      </c>
      <c r="BL14" s="1028">
        <f t="shared" si="22"/>
        <v>0</v>
      </c>
      <c r="BM14" s="1028">
        <f t="shared" si="23"/>
        <v>0</v>
      </c>
      <c r="BN14" s="1028">
        <f t="shared" si="24"/>
        <v>0</v>
      </c>
      <c r="BO14" s="1028">
        <f t="shared" si="25"/>
        <v>0</v>
      </c>
      <c r="BP14" s="1028">
        <f t="shared" si="26"/>
        <v>0</v>
      </c>
      <c r="BQ14" s="1028">
        <f t="shared" si="27"/>
        <v>0</v>
      </c>
      <c r="BR14" s="1028">
        <f t="shared" si="28"/>
        <v>0</v>
      </c>
      <c r="BS14" s="1028">
        <f t="shared" si="29"/>
        <v>0</v>
      </c>
      <c r="BT14" s="1028">
        <f t="shared" si="30"/>
        <v>0</v>
      </c>
      <c r="BU14" s="1028">
        <f t="shared" si="31"/>
        <v>0</v>
      </c>
      <c r="BV14" s="1028">
        <f t="shared" si="32"/>
        <v>0</v>
      </c>
      <c r="BW14" s="1028">
        <f t="shared" si="33"/>
        <v>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0</v>
      </c>
      <c r="CF14" s="1028">
        <f t="shared" si="42"/>
        <v>0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100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0</v>
      </c>
      <c r="BG15" s="1028">
        <f t="shared" si="17"/>
        <v>0</v>
      </c>
      <c r="BH15" s="1028">
        <f t="shared" si="18"/>
        <v>0</v>
      </c>
      <c r="BI15" s="1028">
        <f t="shared" si="19"/>
        <v>100</v>
      </c>
      <c r="BJ15" s="1028">
        <f t="shared" si="20"/>
        <v>0</v>
      </c>
      <c r="BK15" s="1028">
        <f t="shared" si="21"/>
        <v>0</v>
      </c>
      <c r="BL15" s="1028">
        <f t="shared" si="22"/>
        <v>0</v>
      </c>
      <c r="BM15" s="1028">
        <f t="shared" si="23"/>
        <v>0</v>
      </c>
      <c r="BN15" s="1028">
        <f t="shared" si="24"/>
        <v>0</v>
      </c>
      <c r="BO15" s="1028">
        <f t="shared" si="25"/>
        <v>0</v>
      </c>
      <c r="BP15" s="1028">
        <f t="shared" si="26"/>
        <v>0</v>
      </c>
      <c r="BQ15" s="1028">
        <f t="shared" si="27"/>
        <v>0</v>
      </c>
      <c r="BR15" s="1028">
        <f t="shared" si="28"/>
        <v>0</v>
      </c>
      <c r="BS15" s="1028">
        <f t="shared" si="29"/>
        <v>0</v>
      </c>
      <c r="BT15" s="1028">
        <f t="shared" si="30"/>
        <v>0</v>
      </c>
      <c r="BU15" s="1028">
        <f t="shared" si="31"/>
        <v>0</v>
      </c>
      <c r="BV15" s="1028">
        <f t="shared" si="32"/>
        <v>0</v>
      </c>
      <c r="BW15" s="1028">
        <f t="shared" si="33"/>
        <v>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0</v>
      </c>
      <c r="CF15" s="1028">
        <f t="shared" si="42"/>
        <v>0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50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0</v>
      </c>
      <c r="BG16" s="1028">
        <f t="shared" si="17"/>
        <v>0</v>
      </c>
      <c r="BH16" s="1028">
        <f t="shared" si="18"/>
        <v>0</v>
      </c>
      <c r="BI16" s="1028">
        <f t="shared" si="19"/>
        <v>50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1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0</v>
      </c>
      <c r="BG17" s="1028">
        <f t="shared" si="17"/>
        <v>0</v>
      </c>
      <c r="BH17" s="1028">
        <f t="shared" si="18"/>
        <v>0</v>
      </c>
      <c r="BI17" s="1028">
        <f t="shared" si="19"/>
        <v>1</v>
      </c>
      <c r="BJ17" s="1028">
        <f t="shared" si="20"/>
        <v>0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0.13750000000000001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</v>
      </c>
      <c r="BG19" s="1028">
        <f t="shared" si="17"/>
        <v>0</v>
      </c>
      <c r="BH19" s="1028">
        <f t="shared" si="18"/>
        <v>0</v>
      </c>
      <c r="BI19" s="1028">
        <f t="shared" si="19"/>
        <v>0.13750000000000001</v>
      </c>
      <c r="BJ19" s="1028">
        <f t="shared" si="20"/>
        <v>0</v>
      </c>
      <c r="BK19" s="1028">
        <f t="shared" si="21"/>
        <v>0</v>
      </c>
      <c r="BL19" s="1028">
        <f t="shared" si="22"/>
        <v>0</v>
      </c>
      <c r="BM19" s="1028">
        <f t="shared" si="23"/>
        <v>0</v>
      </c>
      <c r="BN19" s="1028">
        <f t="shared" si="24"/>
        <v>0</v>
      </c>
      <c r="BO19" s="1028">
        <f t="shared" si="25"/>
        <v>0</v>
      </c>
      <c r="BP19" s="1028">
        <f t="shared" si="26"/>
        <v>0</v>
      </c>
      <c r="BQ19" s="1028">
        <f t="shared" si="27"/>
        <v>0</v>
      </c>
      <c r="BR19" s="1028">
        <f t="shared" si="28"/>
        <v>0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0.57999999999999996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</v>
      </c>
      <c r="BG20" s="1033">
        <f t="shared" si="65"/>
        <v>0</v>
      </c>
      <c r="BH20" s="1033">
        <f t="shared" si="65"/>
        <v>0</v>
      </c>
      <c r="BI20" s="1033">
        <f t="shared" si="65"/>
        <v>0.57999999999999996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0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0</v>
      </c>
      <c r="BR20" s="1033">
        <f t="shared" si="66"/>
        <v>0</v>
      </c>
      <c r="BS20" s="1033">
        <f t="shared" si="66"/>
        <v>0</v>
      </c>
      <c r="BT20" s="1033">
        <f t="shared" si="66"/>
        <v>0</v>
      </c>
      <c r="BU20" s="1033">
        <f t="shared" si="66"/>
        <v>0</v>
      </c>
      <c r="BV20" s="1033">
        <f t="shared" si="66"/>
        <v>0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11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0</v>
      </c>
      <c r="BG23" s="1015">
        <f t="shared" si="67"/>
        <v>0</v>
      </c>
      <c r="BH23" s="1015">
        <f t="shared" si="67"/>
        <v>0</v>
      </c>
      <c r="BI23" s="1015">
        <f t="shared" si="67"/>
        <v>11</v>
      </c>
      <c r="BJ23" s="1015">
        <f t="shared" si="67"/>
        <v>0</v>
      </c>
      <c r="BK23" s="1015">
        <f t="shared" si="67"/>
        <v>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0</v>
      </c>
      <c r="BO23" s="1015">
        <f t="shared" si="68"/>
        <v>0</v>
      </c>
      <c r="BP23" s="1015">
        <f t="shared" ref="BP23:CA26" si="69">IF(Q$2=1,Q23,0)</f>
        <v>0</v>
      </c>
      <c r="BQ23" s="1015">
        <f t="shared" si="69"/>
        <v>0</v>
      </c>
      <c r="BR23" s="1015">
        <f t="shared" si="69"/>
        <v>0</v>
      </c>
      <c r="BS23" s="1015">
        <f t="shared" si="69"/>
        <v>0</v>
      </c>
      <c r="BT23" s="1015">
        <f t="shared" si="69"/>
        <v>0</v>
      </c>
      <c r="BU23" s="1015">
        <f t="shared" si="69"/>
        <v>0</v>
      </c>
      <c r="BV23" s="1015">
        <f t="shared" si="69"/>
        <v>0</v>
      </c>
      <c r="BW23" s="1015">
        <f t="shared" si="69"/>
        <v>0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0</v>
      </c>
      <c r="CF23" s="1015">
        <f t="shared" si="71"/>
        <v>0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2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0</v>
      </c>
      <c r="BH24" s="1015">
        <f t="shared" si="67"/>
        <v>0</v>
      </c>
      <c r="BI24" s="1015">
        <f t="shared" si="67"/>
        <v>2</v>
      </c>
      <c r="BJ24" s="1015">
        <f t="shared" si="67"/>
        <v>0</v>
      </c>
      <c r="BK24" s="1015">
        <f t="shared" si="67"/>
        <v>0</v>
      </c>
      <c r="BL24" s="1015">
        <f t="shared" si="67"/>
        <v>0</v>
      </c>
      <c r="BM24" s="1015">
        <f t="shared" si="67"/>
        <v>0</v>
      </c>
      <c r="BN24" s="1015">
        <f t="shared" si="68"/>
        <v>0</v>
      </c>
      <c r="BO24" s="1015">
        <f t="shared" si="68"/>
        <v>0</v>
      </c>
      <c r="BP24" s="1015">
        <f t="shared" si="69"/>
        <v>0</v>
      </c>
      <c r="BQ24" s="1015">
        <f t="shared" si="69"/>
        <v>0</v>
      </c>
      <c r="BR24" s="1015">
        <f t="shared" si="69"/>
        <v>0</v>
      </c>
      <c r="BS24" s="1015">
        <f t="shared" si="69"/>
        <v>0</v>
      </c>
      <c r="BT24" s="1015">
        <f t="shared" si="69"/>
        <v>0</v>
      </c>
      <c r="BU24" s="1015">
        <f t="shared" si="69"/>
        <v>0</v>
      </c>
      <c r="BV24" s="1015">
        <f t="shared" si="69"/>
        <v>0</v>
      </c>
      <c r="BW24" s="1015">
        <f t="shared" si="69"/>
        <v>0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0</v>
      </c>
      <c r="BR25" s="1015">
        <f t="shared" si="69"/>
        <v>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12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0</v>
      </c>
      <c r="BG28" s="1023">
        <f t="shared" si="74"/>
        <v>0</v>
      </c>
      <c r="BH28" s="1023">
        <f t="shared" si="74"/>
        <v>0</v>
      </c>
      <c r="BI28" s="1023">
        <f t="shared" si="74"/>
        <v>12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0</v>
      </c>
      <c r="BO28" s="1023">
        <f t="shared" si="74"/>
        <v>0</v>
      </c>
      <c r="BP28" s="1023">
        <f t="shared" si="74"/>
        <v>0</v>
      </c>
      <c r="BQ28" s="1023">
        <f t="shared" si="74"/>
        <v>0</v>
      </c>
      <c r="BR28" s="1023">
        <f t="shared" si="74"/>
        <v>0</v>
      </c>
      <c r="BS28" s="1023">
        <f t="shared" si="74"/>
        <v>0</v>
      </c>
      <c r="BT28" s="1023">
        <f t="shared" si="74"/>
        <v>0</v>
      </c>
      <c r="BU28" s="1023">
        <f t="shared" si="74"/>
        <v>0</v>
      </c>
      <c r="BV28" s="1023">
        <f t="shared" si="74"/>
        <v>0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16.25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16.25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Round Module Cover</v>
      </c>
      <c r="B31" s="1024">
        <f>IF(B$2=1,SUM(BC31:CZ31),"Error")</f>
        <v>19.600000000000001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26.255999999999997</v>
      </c>
      <c r="AP31" s="1049">
        <f>IF(AND(Machine!$B$67=1,Machine!$J$67=1),10.94*(AP4/500),0)</f>
        <v>17.504000000000001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0</v>
      </c>
      <c r="BH31" s="1028">
        <f t="shared" si="80"/>
        <v>0</v>
      </c>
      <c r="BI31" s="1028">
        <f t="shared" si="80"/>
        <v>19.600000000000001</v>
      </c>
      <c r="BJ31" s="1028">
        <f t="shared" si="80"/>
        <v>0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</v>
      </c>
      <c r="BR31" s="1028">
        <f t="shared" si="81"/>
        <v>0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10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0</v>
      </c>
      <c r="BH33" s="1028">
        <f t="shared" si="87"/>
        <v>0</v>
      </c>
      <c r="BI33" s="1028">
        <f t="shared" si="87"/>
        <v>10</v>
      </c>
      <c r="BJ33" s="1028">
        <f t="shared" si="87"/>
        <v>0</v>
      </c>
      <c r="BK33" s="1028">
        <f t="shared" si="87"/>
        <v>0</v>
      </c>
      <c r="BL33" s="1028">
        <f t="shared" si="87"/>
        <v>0</v>
      </c>
      <c r="BM33" s="1028">
        <f t="shared" si="87"/>
        <v>0</v>
      </c>
      <c r="BN33" s="1028">
        <f t="shared" si="87"/>
        <v>0</v>
      </c>
      <c r="BO33" s="1028">
        <f t="shared" si="87"/>
        <v>0</v>
      </c>
      <c r="BP33" s="1028">
        <f t="shared" si="87"/>
        <v>0</v>
      </c>
      <c r="BQ33" s="1028">
        <f t="shared" ref="BQ33:BZ35" si="88">IF(R$2=1,R33,0)</f>
        <v>0</v>
      </c>
      <c r="BR33" s="1028">
        <f t="shared" si="88"/>
        <v>0</v>
      </c>
      <c r="BS33" s="1028">
        <f t="shared" si="88"/>
        <v>0</v>
      </c>
      <c r="BT33" s="1028">
        <f t="shared" si="88"/>
        <v>0</v>
      </c>
      <c r="BU33" s="1028">
        <f t="shared" si="88"/>
        <v>0</v>
      </c>
      <c r="BV33" s="1028">
        <f t="shared" si="88"/>
        <v>0</v>
      </c>
      <c r="BW33" s="1028">
        <f t="shared" si="88"/>
        <v>0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0</v>
      </c>
      <c r="CF33" s="1028">
        <f t="shared" si="91"/>
        <v>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Boll Weevil Eradication Fee; See Note 3</v>
      </c>
      <c r="B34" s="1024">
        <f>IF(B$2=1,SUM(BC34:CZ34),"Error")</f>
        <v>3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0</v>
      </c>
      <c r="BH34" s="1028">
        <f t="shared" si="87"/>
        <v>0</v>
      </c>
      <c r="BI34" s="1028">
        <f t="shared" si="87"/>
        <v>3</v>
      </c>
      <c r="BJ34" s="1028">
        <f t="shared" si="87"/>
        <v>0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0</v>
      </c>
      <c r="BR34" s="1028">
        <f t="shared" si="88"/>
        <v>0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28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0</v>
      </c>
      <c r="BG35" s="1028">
        <f t="shared" si="87"/>
        <v>0</v>
      </c>
      <c r="BH35" s="1028">
        <f t="shared" si="87"/>
        <v>0</v>
      </c>
      <c r="BI35" s="1028">
        <f t="shared" si="87"/>
        <v>28</v>
      </c>
      <c r="BJ35" s="1028">
        <f t="shared" si="87"/>
        <v>0</v>
      </c>
      <c r="BK35" s="1028">
        <f t="shared" si="87"/>
        <v>0</v>
      </c>
      <c r="BL35" s="1028">
        <f t="shared" si="87"/>
        <v>0</v>
      </c>
      <c r="BM35" s="1028">
        <f t="shared" si="87"/>
        <v>0</v>
      </c>
      <c r="BN35" s="1028">
        <f t="shared" si="87"/>
        <v>0</v>
      </c>
      <c r="BO35" s="1028">
        <f t="shared" si="87"/>
        <v>0</v>
      </c>
      <c r="BP35" s="1028">
        <f t="shared" si="87"/>
        <v>0</v>
      </c>
      <c r="BQ35" s="1028">
        <f t="shared" si="88"/>
        <v>0</v>
      </c>
      <c r="BR35" s="1028">
        <f t="shared" si="88"/>
        <v>0</v>
      </c>
      <c r="BS35" s="1028">
        <f t="shared" si="88"/>
        <v>0</v>
      </c>
      <c r="BT35" s="1028">
        <f t="shared" si="88"/>
        <v>0</v>
      </c>
      <c r="BU35" s="1028">
        <f t="shared" si="88"/>
        <v>0</v>
      </c>
      <c r="BV35" s="1028">
        <f t="shared" si="88"/>
        <v>0</v>
      </c>
      <c r="BW35" s="1028">
        <f t="shared" si="88"/>
        <v>0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0</v>
      </c>
      <c r="CF35" s="1028">
        <f t="shared" si="91"/>
        <v>0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0.1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</v>
      </c>
      <c r="BG37" s="1046">
        <f t="shared" si="94"/>
        <v>0</v>
      </c>
      <c r="BH37" s="1046">
        <f t="shared" si="94"/>
        <v>0</v>
      </c>
      <c r="BI37" s="1046">
        <f t="shared" si="94"/>
        <v>0.1</v>
      </c>
      <c r="BJ37" s="1046">
        <f t="shared" si="94"/>
        <v>0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</v>
      </c>
      <c r="BR37" s="1046">
        <f t="shared" si="96"/>
        <v>0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20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0</v>
      </c>
      <c r="BG38" s="1028">
        <f t="shared" si="94"/>
        <v>0</v>
      </c>
      <c r="BH38" s="1028">
        <f t="shared" si="94"/>
        <v>0</v>
      </c>
      <c r="BI38" s="1028">
        <f t="shared" si="94"/>
        <v>20</v>
      </c>
      <c r="BJ38" s="1028">
        <f t="shared" si="94"/>
        <v>0</v>
      </c>
      <c r="BK38" s="1028">
        <f t="shared" si="94"/>
        <v>0</v>
      </c>
      <c r="BL38" s="1028">
        <f t="shared" si="94"/>
        <v>0</v>
      </c>
      <c r="BM38" s="1028">
        <f t="shared" si="94"/>
        <v>0</v>
      </c>
      <c r="BN38" s="1028">
        <f t="shared" si="95"/>
        <v>0</v>
      </c>
      <c r="BO38" s="1028">
        <f t="shared" si="95"/>
        <v>0</v>
      </c>
      <c r="BP38" s="1028">
        <f t="shared" si="96"/>
        <v>0</v>
      </c>
      <c r="BQ38" s="1028">
        <f t="shared" si="96"/>
        <v>0</v>
      </c>
      <c r="BR38" s="1028">
        <f t="shared" si="96"/>
        <v>0</v>
      </c>
      <c r="BS38" s="1028">
        <f t="shared" si="96"/>
        <v>0</v>
      </c>
      <c r="BT38" s="1028">
        <f t="shared" si="96"/>
        <v>0</v>
      </c>
      <c r="BU38" s="1028">
        <f t="shared" si="96"/>
        <v>0</v>
      </c>
      <c r="BV38" s="1028">
        <f t="shared" si="96"/>
        <v>0</v>
      </c>
      <c r="BW38" s="1028">
        <f t="shared" si="96"/>
        <v>0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0</v>
      </c>
      <c r="CF38" s="1028">
        <f t="shared" si="98"/>
        <v>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4.9249999999999998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4.9249999999999998</v>
      </c>
      <c r="H39" s="1049">
        <f>(1+2.2)+(0.005*500*Budget!$E$3)</f>
        <v>4.9249999999999998</v>
      </c>
      <c r="I39" s="1049">
        <f>(1+2.2)+(0.005*500*Budget!$E$3)</f>
        <v>4.9249999999999998</v>
      </c>
      <c r="J39" s="1049">
        <f>(1+2.2)+(0.005*500*Budget!$E$3)</f>
        <v>4.9249999999999998</v>
      </c>
      <c r="K39" s="1049">
        <f>(1+2.2)+(0.005*500*Budget!$E$3)</f>
        <v>4.9249999999999998</v>
      </c>
      <c r="L39" s="1049">
        <f>(1+2.2)+(0.005*500*Budget!$E$3)</f>
        <v>4.9249999999999998</v>
      </c>
      <c r="M39" s="1049">
        <f>(1+2.2)+(0.005*500*Budget!$E$3)</f>
        <v>4.9249999999999998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3.4499999999999999E-3</v>
      </c>
      <c r="W39" s="1886">
        <f>(Budget!$E$3*(0.01/2))</f>
        <v>3.4499999999999999E-3</v>
      </c>
      <c r="X39" s="1886">
        <f>(Budget!$E$3*(0.01/2))</f>
        <v>3.4499999999999999E-3</v>
      </c>
      <c r="Y39" s="1886">
        <f>(Budget!$E$3*(0.01/2))</f>
        <v>3.4499999999999999E-3</v>
      </c>
      <c r="Z39" s="1886">
        <f>(Budget!$E$3*(0.01/2))</f>
        <v>3.4499999999999999E-3</v>
      </c>
      <c r="AA39" s="1886">
        <f>(Budget!$E$3*(0.01/2))</f>
        <v>3.4499999999999999E-3</v>
      </c>
      <c r="AB39" s="1886">
        <f>(Budget!$E$3*(0.01/2))</f>
        <v>3.4499999999999999E-3</v>
      </c>
      <c r="AC39" s="1886">
        <f>(Budget!$E$3*(0.01/2))</f>
        <v>3.4499999999999999E-3</v>
      </c>
      <c r="AD39" s="1886">
        <f>(Budget!$E$3*(0.01/2))</f>
        <v>3.4499999999999999E-3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3.4499999999999999E-3</v>
      </c>
      <c r="AM39" s="1886">
        <f>(Budget!$E$3*(0.01/2))</f>
        <v>3.4499999999999999E-3</v>
      </c>
      <c r="AN39" s="1886">
        <f>(Budget!$E$3*(0.01/2))</f>
        <v>3.4499999999999999E-3</v>
      </c>
      <c r="AO39" s="1049">
        <f>(1+2.2)+(0.005*500*Budget!$E$3)</f>
        <v>4.9249999999999998</v>
      </c>
      <c r="AP39" s="1049">
        <f>(1+2.2)+(0.005*500*Budget!$E$3)</f>
        <v>4.9249999999999998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0</v>
      </c>
      <c r="BG39" s="1885">
        <f t="shared" si="94"/>
        <v>0</v>
      </c>
      <c r="BH39" s="1885">
        <f t="shared" si="94"/>
        <v>0</v>
      </c>
      <c r="BI39" s="1885">
        <f t="shared" si="94"/>
        <v>4.9249999999999998</v>
      </c>
      <c r="BJ39" s="1885">
        <f t="shared" si="94"/>
        <v>0</v>
      </c>
      <c r="BK39" s="1885">
        <f t="shared" si="94"/>
        <v>0</v>
      </c>
      <c r="BL39" s="1885">
        <f t="shared" si="94"/>
        <v>0</v>
      </c>
      <c r="BM39" s="1885">
        <f t="shared" si="94"/>
        <v>0</v>
      </c>
      <c r="BN39" s="1885">
        <f t="shared" si="95"/>
        <v>0</v>
      </c>
      <c r="BO39" s="1885">
        <f t="shared" si="95"/>
        <v>0</v>
      </c>
      <c r="BP39" s="1885">
        <f t="shared" si="96"/>
        <v>0</v>
      </c>
      <c r="BQ39" s="1885">
        <f t="shared" si="96"/>
        <v>0</v>
      </c>
      <c r="BR39" s="1885">
        <f t="shared" si="96"/>
        <v>0</v>
      </c>
      <c r="BS39" s="1885">
        <f t="shared" si="96"/>
        <v>0</v>
      </c>
      <c r="BT39" s="1885">
        <f t="shared" si="96"/>
        <v>0</v>
      </c>
      <c r="BU39" s="1885">
        <f t="shared" si="96"/>
        <v>0</v>
      </c>
      <c r="BV39" s="1885">
        <f t="shared" si="96"/>
        <v>0</v>
      </c>
      <c r="BW39" s="1885">
        <f t="shared" si="96"/>
        <v>0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0</v>
      </c>
      <c r="CF39" s="1885">
        <f t="shared" si="98"/>
        <v>0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2.38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0</v>
      </c>
      <c r="BG43" s="1054">
        <f t="shared" si="101"/>
        <v>0</v>
      </c>
      <c r="BH43" s="1054">
        <f t="shared" si="101"/>
        <v>0</v>
      </c>
      <c r="BI43" s="1054">
        <f t="shared" si="101"/>
        <v>2.38</v>
      </c>
      <c r="BJ43" s="1054">
        <f t="shared" si="101"/>
        <v>0</v>
      </c>
      <c r="BK43" s="1054">
        <f t="shared" si="101"/>
        <v>0</v>
      </c>
      <c r="BL43" s="1054">
        <f t="shared" si="101"/>
        <v>0</v>
      </c>
      <c r="BM43" s="1054">
        <f t="shared" si="101"/>
        <v>0</v>
      </c>
      <c r="BN43" s="1054">
        <f t="shared" si="102"/>
        <v>0</v>
      </c>
      <c r="BO43" s="1054">
        <f t="shared" si="102"/>
        <v>0</v>
      </c>
      <c r="BP43" s="1054">
        <f t="shared" si="103"/>
        <v>0</v>
      </c>
      <c r="BQ43" s="1054">
        <f t="shared" si="103"/>
        <v>0</v>
      </c>
      <c r="BR43" s="1054">
        <f t="shared" si="103"/>
        <v>0</v>
      </c>
      <c r="BS43" s="1054">
        <f t="shared" si="103"/>
        <v>0</v>
      </c>
      <c r="BT43" s="1054">
        <f t="shared" si="103"/>
        <v>0</v>
      </c>
      <c r="BU43" s="1054">
        <f t="shared" si="103"/>
        <v>0</v>
      </c>
      <c r="BV43" s="1054">
        <f t="shared" si="103"/>
        <v>0</v>
      </c>
      <c r="BW43" s="1054">
        <f t="shared" si="103"/>
        <v>0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</v>
      </c>
      <c r="CF43" s="1054">
        <f t="shared" si="105"/>
        <v>0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47.5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0</v>
      </c>
      <c r="BG45" s="1054">
        <f t="shared" si="101"/>
        <v>0</v>
      </c>
      <c r="BH45" s="1054">
        <f t="shared" si="101"/>
        <v>0</v>
      </c>
      <c r="BI45" s="1054">
        <f t="shared" si="101"/>
        <v>47.5</v>
      </c>
      <c r="BJ45" s="1054">
        <f t="shared" si="101"/>
        <v>0</v>
      </c>
      <c r="BK45" s="1054">
        <f t="shared" si="101"/>
        <v>0</v>
      </c>
      <c r="BL45" s="1054">
        <f t="shared" si="101"/>
        <v>0</v>
      </c>
      <c r="BM45" s="1054">
        <f t="shared" si="101"/>
        <v>0</v>
      </c>
      <c r="BN45" s="1054">
        <f t="shared" si="102"/>
        <v>0</v>
      </c>
      <c r="BO45" s="1054">
        <f t="shared" si="102"/>
        <v>0</v>
      </c>
      <c r="BP45" s="1054">
        <f t="shared" si="103"/>
        <v>0</v>
      </c>
      <c r="BQ45" s="1054">
        <f t="shared" si="103"/>
        <v>0</v>
      </c>
      <c r="BR45" s="1054">
        <f t="shared" si="103"/>
        <v>0</v>
      </c>
      <c r="BS45" s="1054">
        <f t="shared" si="103"/>
        <v>0</v>
      </c>
      <c r="BT45" s="1054">
        <f t="shared" si="103"/>
        <v>0</v>
      </c>
      <c r="BU45" s="1054">
        <f t="shared" si="103"/>
        <v>0</v>
      </c>
      <c r="BV45" s="1054">
        <f t="shared" si="103"/>
        <v>0</v>
      </c>
      <c r="BW45" s="1054">
        <f t="shared" si="103"/>
        <v>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0</v>
      </c>
      <c r="CF45" s="1054">
        <f t="shared" si="105"/>
        <v>0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47.5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0</v>
      </c>
      <c r="BH46" s="1054">
        <f t="shared" si="101"/>
        <v>0</v>
      </c>
      <c r="BI46" s="1054">
        <f t="shared" si="101"/>
        <v>47.5</v>
      </c>
      <c r="BJ46" s="1054">
        <f t="shared" si="101"/>
        <v>0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1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0</v>
      </c>
      <c r="BG48" s="1066">
        <f t="shared" si="108"/>
        <v>0</v>
      </c>
      <c r="BH48" s="1066">
        <f t="shared" si="108"/>
        <v>0</v>
      </c>
      <c r="BI48" s="1066">
        <f t="shared" si="108"/>
        <v>1</v>
      </c>
      <c r="BJ48" s="1066">
        <f t="shared" si="108"/>
        <v>0</v>
      </c>
      <c r="BK48" s="1066">
        <f t="shared" si="108"/>
        <v>0</v>
      </c>
      <c r="BL48" s="1066">
        <f t="shared" si="108"/>
        <v>0</v>
      </c>
      <c r="BM48" s="1066">
        <f t="shared" si="108"/>
        <v>0</v>
      </c>
      <c r="BN48" s="1066">
        <f t="shared" si="108"/>
        <v>0</v>
      </c>
      <c r="BO48" s="1066">
        <f t="shared" si="108"/>
        <v>0</v>
      </c>
      <c r="BP48" s="1066">
        <f t="shared" si="108"/>
        <v>0</v>
      </c>
      <c r="BQ48" s="1066">
        <f t="shared" si="108"/>
        <v>0</v>
      </c>
      <c r="BR48" s="1066">
        <f t="shared" si="108"/>
        <v>0</v>
      </c>
      <c r="BS48" s="1066">
        <f t="shared" si="108"/>
        <v>0</v>
      </c>
      <c r="BT48" s="1066">
        <f t="shared" si="108"/>
        <v>0</v>
      </c>
      <c r="BU48" s="1066">
        <f t="shared" si="108"/>
        <v>0</v>
      </c>
      <c r="BV48" s="1066">
        <f t="shared" si="108"/>
        <v>0</v>
      </c>
      <c r="BW48" s="1066">
        <f t="shared" si="108"/>
        <v>0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0</v>
      </c>
      <c r="CF48" s="1066">
        <f t="shared" si="108"/>
        <v>0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0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0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0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0</v>
      </c>
      <c r="BR56" s="993">
        <f t="shared" si="126"/>
        <v>0</v>
      </c>
      <c r="BS56" s="993">
        <f t="shared" si="127"/>
        <v>0</v>
      </c>
      <c r="BT56" s="993">
        <f t="shared" si="128"/>
        <v>0</v>
      </c>
      <c r="BU56" s="993">
        <f t="shared" si="129"/>
        <v>0</v>
      </c>
      <c r="BV56" s="993">
        <f t="shared" si="130"/>
        <v>0</v>
      </c>
      <c r="BW56" s="993">
        <f t="shared" si="131"/>
        <v>0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0</v>
      </c>
      <c r="CF56" s="993">
        <f t="shared" si="140"/>
        <v>0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2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0</v>
      </c>
      <c r="BG57" s="993">
        <f t="shared" si="115"/>
        <v>0</v>
      </c>
      <c r="BH57" s="993">
        <f t="shared" si="116"/>
        <v>0</v>
      </c>
      <c r="BI57" s="993">
        <f t="shared" si="117"/>
        <v>2</v>
      </c>
      <c r="BJ57" s="993">
        <f t="shared" si="118"/>
        <v>0</v>
      </c>
      <c r="BK57" s="993">
        <f t="shared" si="119"/>
        <v>0</v>
      </c>
      <c r="BL57" s="993">
        <f t="shared" si="120"/>
        <v>0</v>
      </c>
      <c r="BM57" s="993">
        <f t="shared" si="121"/>
        <v>0</v>
      </c>
      <c r="BN57" s="993">
        <f t="shared" si="122"/>
        <v>0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0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0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0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0</v>
      </c>
      <c r="BR62" s="993">
        <f t="shared" si="126"/>
        <v>0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0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0</v>
      </c>
      <c r="BR64" s="993">
        <f t="shared" si="126"/>
        <v>0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0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0</v>
      </c>
      <c r="BR65" s="993">
        <f t="shared" si="126"/>
        <v>0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0</v>
      </c>
      <c r="CF65" s="993">
        <f t="shared" si="140"/>
        <v>0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1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1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0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0</v>
      </c>
      <c r="BR69" s="993">
        <f t="shared" si="126"/>
        <v>0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1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0</v>
      </c>
      <c r="BG71" s="993">
        <f t="shared" si="115"/>
        <v>0</v>
      </c>
      <c r="BH71" s="993">
        <f t="shared" si="116"/>
        <v>0</v>
      </c>
      <c r="BI71" s="993">
        <f t="shared" si="117"/>
        <v>1</v>
      </c>
      <c r="BJ71" s="993">
        <f t="shared" si="118"/>
        <v>0</v>
      </c>
      <c r="BK71" s="993">
        <f t="shared" si="119"/>
        <v>0</v>
      </c>
      <c r="BL71" s="993">
        <f t="shared" si="120"/>
        <v>0</v>
      </c>
      <c r="BM71" s="993">
        <f t="shared" si="121"/>
        <v>0</v>
      </c>
      <c r="BN71" s="993">
        <f t="shared" si="122"/>
        <v>0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1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0</v>
      </c>
      <c r="BG72" s="993">
        <f t="shared" si="115"/>
        <v>0</v>
      </c>
      <c r="BH72" s="993">
        <f t="shared" si="116"/>
        <v>0</v>
      </c>
      <c r="BI72" s="993">
        <f t="shared" si="117"/>
        <v>1</v>
      </c>
      <c r="BJ72" s="993">
        <f t="shared" si="118"/>
        <v>0</v>
      </c>
      <c r="BK72" s="993">
        <f t="shared" si="119"/>
        <v>0</v>
      </c>
      <c r="BL72" s="993">
        <f t="shared" si="120"/>
        <v>0</v>
      </c>
      <c r="BM72" s="993">
        <f t="shared" si="121"/>
        <v>0</v>
      </c>
      <c r="BN72" s="993">
        <f t="shared" si="122"/>
        <v>0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0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0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0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0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0</v>
      </c>
      <c r="BR74" s="993">
        <f t="shared" si="126"/>
        <v>0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1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1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0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0</v>
      </c>
      <c r="BR80" s="993">
        <f t="shared" si="126"/>
        <v>0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0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0</v>
      </c>
      <c r="BR83" s="993">
        <f t="shared" si="126"/>
        <v>0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0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0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0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0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1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0</v>
      </c>
      <c r="BH88" s="993">
        <f t="shared" si="116"/>
        <v>0</v>
      </c>
      <c r="BI88" s="993">
        <f t="shared" si="167"/>
        <v>1</v>
      </c>
      <c r="BJ88" s="993">
        <f t="shared" si="167"/>
        <v>0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0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1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0</v>
      </c>
      <c r="BH104" s="993">
        <f t="shared" si="223"/>
        <v>0</v>
      </c>
      <c r="BI104" s="993">
        <f t="shared" si="224"/>
        <v>1</v>
      </c>
      <c r="BJ104" s="993">
        <f t="shared" si="225"/>
        <v>0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1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0</v>
      </c>
      <c r="BH105" s="993">
        <f t="shared" si="223"/>
        <v>0</v>
      </c>
      <c r="BI105" s="993">
        <f t="shared" si="224"/>
        <v>1</v>
      </c>
      <c r="BJ105" s="993">
        <f t="shared" si="225"/>
        <v>0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0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0</v>
      </c>
      <c r="BO106" s="993">
        <f t="shared" si="230"/>
        <v>0</v>
      </c>
      <c r="BP106" s="993">
        <f t="shared" si="231"/>
        <v>0</v>
      </c>
      <c r="BQ106" s="993">
        <f t="shared" si="232"/>
        <v>0</v>
      </c>
      <c r="BR106" s="993">
        <f t="shared" si="233"/>
        <v>0</v>
      </c>
      <c r="BS106" s="993">
        <f t="shared" si="234"/>
        <v>0</v>
      </c>
      <c r="BT106" s="993">
        <f t="shared" si="235"/>
        <v>0</v>
      </c>
      <c r="BU106" s="993">
        <f t="shared" si="236"/>
        <v>0</v>
      </c>
      <c r="BV106" s="993">
        <f t="shared" si="237"/>
        <v>0</v>
      </c>
      <c r="BW106" s="993">
        <f t="shared" si="238"/>
        <v>0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0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0</v>
      </c>
      <c r="BW108" s="993">
        <f t="shared" si="238"/>
        <v>0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0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0</v>
      </c>
      <c r="BR109" s="993">
        <f t="shared" si="233"/>
        <v>0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0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0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0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0</v>
      </c>
      <c r="BO111" s="993">
        <f t="shared" si="230"/>
        <v>0</v>
      </c>
      <c r="BP111" s="993">
        <f t="shared" si="231"/>
        <v>0</v>
      </c>
      <c r="BQ111" s="993">
        <f t="shared" si="232"/>
        <v>0</v>
      </c>
      <c r="BR111" s="993">
        <f t="shared" si="233"/>
        <v>0</v>
      </c>
      <c r="BS111" s="993">
        <f t="shared" si="234"/>
        <v>0</v>
      </c>
      <c r="BT111" s="993">
        <f t="shared" si="235"/>
        <v>0</v>
      </c>
      <c r="BU111" s="993">
        <f t="shared" si="236"/>
        <v>0</v>
      </c>
      <c r="BV111" s="993">
        <f t="shared" si="237"/>
        <v>0</v>
      </c>
      <c r="BW111" s="993">
        <f t="shared" si="238"/>
        <v>0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0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0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0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0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160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6104.957454370061</v>
      </c>
      <c r="C7" s="1224">
        <f>Irrigation!F38</f>
        <v>765.84427170091112</v>
      </c>
      <c r="D7" s="1225">
        <f>Irrigation!G38</f>
        <v>6870.8017260709721</v>
      </c>
    </row>
    <row r="8" spans="1:4" ht="13.9" x14ac:dyDescent="0.4">
      <c r="A8" s="1222" t="str">
        <f>Irrigation!D39</f>
        <v>Repairs</v>
      </c>
      <c r="B8" s="1224">
        <f>Irrigation!E39</f>
        <v>723.1</v>
      </c>
      <c r="C8" s="1224">
        <f>Irrigation!F39</f>
        <v>38.547106568044192</v>
      </c>
      <c r="D8" s="1225">
        <f>Irrigation!G39</f>
        <v>761.64710656804425</v>
      </c>
    </row>
    <row r="9" spans="1:4" ht="13.9" x14ac:dyDescent="0.4">
      <c r="A9" s="1222" t="str">
        <f>Irrigation!D40</f>
        <v>Fuel, Energy</v>
      </c>
      <c r="B9" s="1224">
        <f>Irrigation!E40</f>
        <v>5578.7183061654123</v>
      </c>
      <c r="C9" s="1224">
        <f>Irrigation!F40</f>
        <v>151.32597079303432</v>
      </c>
      <c r="D9" s="1225">
        <f>Irrigation!G40</f>
        <v>5730.044276958447</v>
      </c>
    </row>
    <row r="10" spans="1:4" ht="13.9" x14ac:dyDescent="0.4">
      <c r="A10" s="1222" t="str">
        <f>Irrigation!D41</f>
        <v>Labor</v>
      </c>
      <c r="B10" s="1224">
        <f>Irrigation!E41</f>
        <v>93.962879999999984</v>
      </c>
      <c r="C10" s="1224">
        <f>Irrigation!F41</f>
        <v>369.64376191560456</v>
      </c>
      <c r="D10" s="1225">
        <f>Irrigation!G41</f>
        <v>463.60664191560454</v>
      </c>
    </row>
    <row r="11" spans="1:4" ht="13.9" x14ac:dyDescent="0.4">
      <c r="A11" s="1222" t="str">
        <f>Irrigation!D42</f>
        <v>Irrigation Supplies</v>
      </c>
      <c r="B11" s="1224">
        <f>Irrigation!E42</f>
        <v>2600</v>
      </c>
      <c r="C11" s="1224">
        <f>Irrigation!F42</f>
        <v>0</v>
      </c>
      <c r="D11" s="1225">
        <f>Irrigation!G42</f>
        <v>2600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38.292213585045559</v>
      </c>
      <c r="D12" s="1225">
        <f>Irrigation!G43</f>
        <v>38.292213585045559</v>
      </c>
    </row>
    <row r="13" spans="1:4" ht="13.9" thickBot="1" x14ac:dyDescent="0.4">
      <c r="A13" s="1226" t="str">
        <f>Irrigation!D44</f>
        <v>Total</v>
      </c>
      <c r="B13" s="1227">
        <f>Irrigation!E44</f>
        <v>15100.738640535474</v>
      </c>
      <c r="C13" s="1227">
        <f>Irrigation!F44</f>
        <v>1363.6533245626399</v>
      </c>
      <c r="D13" s="1228">
        <f>Irrigation!G44</f>
        <v>16464.391965098115</v>
      </c>
    </row>
    <row r="14" spans="1:4" ht="13.9" x14ac:dyDescent="0.4">
      <c r="A14" s="1219" t="str">
        <f>Irrigation!D45</f>
        <v>Irrigation Expenses per Acre</v>
      </c>
      <c r="B14" s="1229">
        <f>Irrigation!E45</f>
        <v>12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>
        <f>Irrigation!E48</f>
        <v>38.155984089812883</v>
      </c>
      <c r="C17" s="1230">
        <f>Irrigation!F48</f>
        <v>4.7865266981306949</v>
      </c>
      <c r="D17" s="1231">
        <f>Irrigation!G48</f>
        <v>42.942510787943576</v>
      </c>
    </row>
    <row r="18" spans="1:4" ht="13.9" x14ac:dyDescent="0.4">
      <c r="A18" s="1222" t="str">
        <f>Irrigation!D49</f>
        <v>Repairs</v>
      </c>
      <c r="B18" s="1230">
        <f>Irrigation!E49</f>
        <v>4.5193750000000001</v>
      </c>
      <c r="C18" s="1230">
        <f>Irrigation!F49</f>
        <v>0.2409194160502762</v>
      </c>
      <c r="D18" s="1231">
        <f>Irrigation!G49</f>
        <v>4.7602944160502769</v>
      </c>
    </row>
    <row r="19" spans="1:4" ht="13.9" x14ac:dyDescent="0.4">
      <c r="A19" s="1222" t="str">
        <f>Irrigation!D50</f>
        <v>Fuel, Energy</v>
      </c>
      <c r="B19" s="1230">
        <f>Irrigation!E50</f>
        <v>34.86698941353383</v>
      </c>
      <c r="C19" s="1230">
        <f>Irrigation!F50</f>
        <v>0.94578731745646449</v>
      </c>
      <c r="D19" s="1231">
        <f>Irrigation!G50</f>
        <v>35.812776730990294</v>
      </c>
    </row>
    <row r="20" spans="1:4" ht="13.9" x14ac:dyDescent="0.4">
      <c r="A20" s="1222" t="str">
        <f>Irrigation!D51</f>
        <v>Labor</v>
      </c>
      <c r="B20" s="1230">
        <f>Irrigation!E51</f>
        <v>0.5872679999999999</v>
      </c>
      <c r="C20" s="1230">
        <f>Irrigation!F51</f>
        <v>2.3102735119725284</v>
      </c>
      <c r="D20" s="1231">
        <f>Irrigation!G51</f>
        <v>2.8975415119725283</v>
      </c>
    </row>
    <row r="21" spans="1:4" ht="13.9" x14ac:dyDescent="0.4">
      <c r="A21" s="1222" t="str">
        <f>Irrigation!D52</f>
        <v>Irrigation Supplies</v>
      </c>
      <c r="B21" s="1230">
        <f>Irrigation!E52</f>
        <v>16.25</v>
      </c>
      <c r="C21" s="1230">
        <f>Irrigation!F52</f>
        <v>0</v>
      </c>
      <c r="D21" s="1231">
        <f>Irrigation!G52</f>
        <v>16.25</v>
      </c>
    </row>
    <row r="22" spans="1:4" ht="13.9" x14ac:dyDescent="0.4">
      <c r="A22" s="1222" t="str">
        <f>Irrigation!D53</f>
        <v>Miscellaneous Overhead</v>
      </c>
      <c r="B22" s="1230">
        <f>Irrigation!E53</f>
        <v>0</v>
      </c>
      <c r="C22" s="1230">
        <f>Irrigation!F53</f>
        <v>0.23932633490653474</v>
      </c>
      <c r="D22" s="1231">
        <f>Irrigation!G53</f>
        <v>0.23932633490653474</v>
      </c>
    </row>
    <row r="23" spans="1:4" ht="13.9" thickBot="1" x14ac:dyDescent="0.4">
      <c r="A23" s="1226" t="str">
        <f>Irrigation!D54</f>
        <v>Total</v>
      </c>
      <c r="B23" s="1232">
        <f>Irrigation!E54</f>
        <v>94.37961650334671</v>
      </c>
      <c r="C23" s="1232">
        <f>Irrigation!F54</f>
        <v>8.5228332785164991</v>
      </c>
      <c r="D23" s="1233">
        <f>Irrigation!G54</f>
        <v>102.90244978186323</v>
      </c>
    </row>
    <row r="24" spans="1:4" ht="13.9" x14ac:dyDescent="0.4">
      <c r="A24" s="1219" t="str">
        <f>Irrigation!D55</f>
        <v>Irrigation Expenses per Inch</v>
      </c>
      <c r="B24" s="1229">
        <f>Irrigation!E55</f>
        <v>160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508.74645453083843</v>
      </c>
      <c r="C27" s="1230">
        <f>Irrigation!F58</f>
        <v>63.820355975075927</v>
      </c>
      <c r="D27" s="1231">
        <f>Irrigation!G58</f>
        <v>572.5668105059143</v>
      </c>
    </row>
    <row r="28" spans="1:4" ht="13.9" x14ac:dyDescent="0.4">
      <c r="A28" s="1222" t="str">
        <f>Irrigation!D59</f>
        <v>Repairs</v>
      </c>
      <c r="B28" s="1230">
        <f>Irrigation!E59</f>
        <v>60.258333333333333</v>
      </c>
      <c r="C28" s="1230">
        <f>Irrigation!F59</f>
        <v>3.2122588806703494</v>
      </c>
      <c r="D28" s="1231">
        <f>Irrigation!G59</f>
        <v>63.470592214003688</v>
      </c>
    </row>
    <row r="29" spans="1:4" ht="13.9" x14ac:dyDescent="0.4">
      <c r="A29" s="1222" t="str">
        <f>Irrigation!D60</f>
        <v>Fuel, Energy</v>
      </c>
      <c r="B29" s="1230">
        <f>Irrigation!E60</f>
        <v>464.89319218045102</v>
      </c>
      <c r="C29" s="1230">
        <f>Irrigation!F60</f>
        <v>12.610497566086194</v>
      </c>
      <c r="D29" s="1231">
        <f>Irrigation!G60</f>
        <v>477.50368974653725</v>
      </c>
    </row>
    <row r="30" spans="1:4" ht="13.9" x14ac:dyDescent="0.4">
      <c r="A30" s="1222" t="str">
        <f>Irrigation!D61</f>
        <v>Labor</v>
      </c>
      <c r="B30" s="1230">
        <f>Irrigation!E61</f>
        <v>7.830239999999999</v>
      </c>
      <c r="C30" s="1230">
        <f>Irrigation!F61</f>
        <v>30.80364682630038</v>
      </c>
      <c r="D30" s="1231">
        <f>Irrigation!G61</f>
        <v>38.633886826300376</v>
      </c>
    </row>
    <row r="31" spans="1:4" ht="13.9" x14ac:dyDescent="0.4">
      <c r="A31" s="1222" t="str">
        <f>Irrigation!D62</f>
        <v>Irrigation Supplies</v>
      </c>
      <c r="B31" s="1230">
        <f>Irrigation!E62</f>
        <v>216.66666666666666</v>
      </c>
      <c r="C31" s="1230">
        <f>Irrigation!F62</f>
        <v>0</v>
      </c>
      <c r="D31" s="1231">
        <f>Irrigation!G62</f>
        <v>216.66666666666666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3.1910177987537964</v>
      </c>
      <c r="D32" s="1231">
        <f>Irrigation!G63</f>
        <v>3.1910177987537964</v>
      </c>
    </row>
    <row r="33" spans="1:4" ht="13.9" thickBot="1" x14ac:dyDescent="0.4">
      <c r="A33" s="1226" t="str">
        <f>Irrigation!D64</f>
        <v>Total</v>
      </c>
      <c r="B33" s="1232">
        <f>Irrigation!E64</f>
        <v>1258.3948867112895</v>
      </c>
      <c r="C33" s="1232">
        <f>Irrigation!F64</f>
        <v>113.63777704688665</v>
      </c>
      <c r="D33" s="1233">
        <f>Irrigation!G64</f>
        <v>1372.0326637581763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4.5</v>
      </c>
      <c r="M69" s="224">
        <f>EquipmentSpecs!C69</f>
        <v>0.7</v>
      </c>
      <c r="N69" s="89">
        <f t="shared" si="30"/>
        <v>11.454545454545455</v>
      </c>
      <c r="O69" s="226">
        <f t="shared" si="31"/>
        <v>8.7301587301587297E-2</v>
      </c>
      <c r="P69" s="270"/>
      <c r="Q69" s="20"/>
      <c r="R69" s="339">
        <f>Machine!H69</f>
        <v>325</v>
      </c>
      <c r="S69" s="1197">
        <v>1</v>
      </c>
      <c r="T69" s="89">
        <f t="shared" si="32"/>
        <v>33.394609856019187</v>
      </c>
      <c r="U69" s="269"/>
      <c r="V69" s="269"/>
      <c r="W69" s="1144">
        <f t="shared" si="33"/>
        <v>1.5107466931216931</v>
      </c>
      <c r="X69" s="1144">
        <f t="shared" si="33"/>
        <v>1.5107466931216931</v>
      </c>
      <c r="Y69" s="1144">
        <f t="shared" si="33"/>
        <v>1.3898869576719577</v>
      </c>
      <c r="Z69" s="1136">
        <f t="shared" si="34"/>
        <v>37.805990199934527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7.067300043312672</v>
      </c>
      <c r="AD69" s="271"/>
      <c r="AE69" s="272"/>
      <c r="AF69" s="269"/>
      <c r="AG69" s="229">
        <f t="shared" si="35"/>
        <v>14.299999999999999</v>
      </c>
      <c r="AH69" s="89">
        <f t="shared" si="36"/>
        <v>3.0710952380952374</v>
      </c>
      <c r="AI69" s="89">
        <f t="shared" si="37"/>
        <v>0.30710952380952378</v>
      </c>
      <c r="AJ69" s="89">
        <f t="shared" si="38"/>
        <v>3.0710952380952374</v>
      </c>
      <c r="AK69" s="227">
        <f>EquipmentSpecs!L69</f>
        <v>1.1100000000000001</v>
      </c>
      <c r="AL69" s="226">
        <f t="shared" si="39"/>
        <v>9.690476190476191E-2</v>
      </c>
      <c r="AM69" s="230">
        <f t="shared" si="40"/>
        <v>1.4370976190476192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4.5</v>
      </c>
      <c r="M74" s="233">
        <f>EquipmentSpecs!C74</f>
        <v>0.7</v>
      </c>
      <c r="N74" s="235">
        <f t="shared" si="30"/>
        <v>11.454545454545455</v>
      </c>
      <c r="O74" s="236">
        <f t="shared" si="31"/>
        <v>8.7301587301587297E-2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2.4541146082985339</v>
      </c>
      <c r="U74" s="235">
        <f>(((P74-(AQ74*P74))*AS74)+(AR74*(AQ74*P74)))/AO74</f>
        <v>61.186395417279016</v>
      </c>
      <c r="V74" s="235">
        <f>U74*O74*S74</f>
        <v>5.3416694411910246</v>
      </c>
      <c r="W74" s="1146">
        <f t="shared" si="33"/>
        <v>0.39751322751322749</v>
      </c>
      <c r="X74" s="1146">
        <f t="shared" si="33"/>
        <v>0.39751322751322749</v>
      </c>
      <c r="Y74" s="1146">
        <f t="shared" si="33"/>
        <v>0.36571216931216932</v>
      </c>
      <c r="Z74" s="1139">
        <f t="shared" si="34"/>
        <v>8.9565226738281822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1.2596560028352846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0.49603714285714279</v>
      </c>
      <c r="AG74" s="240">
        <f>0.044*R74</f>
        <v>8.58</v>
      </c>
      <c r="AH74" s="235">
        <f t="shared" ref="AH74:AH81" si="41">AG74*O74*$AJ$11*S74</f>
        <v>1.8426571428571425</v>
      </c>
      <c r="AI74" s="235">
        <f>AH74*0.1</f>
        <v>0.18426571428571425</v>
      </c>
      <c r="AJ74" s="235">
        <f>AH74</f>
        <v>1.8426571428571425</v>
      </c>
      <c r="AK74" s="459">
        <f>EquipmentSpecs!L74</f>
        <v>1.1100000000000001</v>
      </c>
      <c r="AL74" s="236">
        <f t="shared" si="39"/>
        <v>9.690476190476191E-2</v>
      </c>
      <c r="AM74" s="241">
        <f t="shared" si="40"/>
        <v>1.4370976190476192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291.21242506699355</v>
      </c>
      <c r="U83" s="17"/>
      <c r="V83" s="257">
        <f>SUM(V64:V81)</f>
        <v>1535.957410825873</v>
      </c>
      <c r="W83" s="1147"/>
      <c r="X83" s="1147">
        <f>Z83-(T83+V83)</f>
        <v>264.04464999434367</v>
      </c>
      <c r="Y83" s="1148">
        <f>(Z83-(T83+V83))/(T83+V83)</f>
        <v>0.14451018444342661</v>
      </c>
      <c r="Z83" s="257">
        <f>SUM(Z64:Z81)</f>
        <v>2091.2144858872102</v>
      </c>
      <c r="AA83" s="17"/>
      <c r="AB83" s="17"/>
      <c r="AC83" s="257">
        <f>SUM(AC64:AC81)</f>
        <v>108.80096854601145</v>
      </c>
      <c r="AD83" s="258"/>
      <c r="AE83" s="17"/>
      <c r="AF83" s="257">
        <f>SUM(AF64:AF81)</f>
        <v>142.58777459712979</v>
      </c>
      <c r="AG83" s="17"/>
      <c r="AH83" s="257">
        <f>SUM(AH64:AH81)</f>
        <v>968.90195224405113</v>
      </c>
      <c r="AI83" s="257">
        <f>SUM(AI64:AI81)</f>
        <v>96.890195224405119</v>
      </c>
      <c r="AJ83" s="257"/>
      <c r="AK83" s="17"/>
      <c r="AL83" s="259">
        <f>SUM(AL64:AL81)</f>
        <v>41.993617325472705</v>
      </c>
      <c r="AM83" s="257">
        <f>SUM(AM64:AM81)</f>
        <v>622.76534493676024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1200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1200</v>
      </c>
    </row>
    <row r="5" spans="2:14" ht="13.9" x14ac:dyDescent="0.4">
      <c r="B5" s="4" t="s">
        <v>21</v>
      </c>
      <c r="C5" s="1792">
        <f>Print_Budget!E3</f>
        <v>0.69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0.69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179.82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827.99999999999989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179.82</v>
      </c>
    </row>
    <row r="9" spans="2:14" ht="13.9" x14ac:dyDescent="0.4">
      <c r="B9" s="1185" t="s">
        <v>223</v>
      </c>
      <c r="C9" s="1794">
        <f>Print_Budget!F6</f>
        <v>113.05</v>
      </c>
      <c r="D9" s="3"/>
      <c r="E9" s="1190"/>
      <c r="F9" s="3"/>
      <c r="G9" s="1185" t="s">
        <v>223</v>
      </c>
      <c r="H9" s="1800">
        <f>C9</f>
        <v>113.05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153.82416666666666</v>
      </c>
      <c r="D10" s="3"/>
      <c r="E10" s="1190"/>
      <c r="F10" s="3"/>
      <c r="G10" s="1185" t="s">
        <v>420</v>
      </c>
      <c r="H10" s="1794">
        <f t="shared" ref="H10:H21" si="0">C10</f>
        <v>153.82416666666666</v>
      </c>
      <c r="I10" s="3"/>
      <c r="J10" s="3"/>
      <c r="K10" s="1190"/>
      <c r="L10" s="3"/>
      <c r="M10" s="648" t="s">
        <v>777</v>
      </c>
      <c r="N10" s="1542">
        <f>Print_Summary!B20</f>
        <v>664.38722956401182</v>
      </c>
    </row>
    <row r="11" spans="2:14" ht="13.9" x14ac:dyDescent="0.4">
      <c r="B11" s="1185" t="s">
        <v>494</v>
      </c>
      <c r="C11" s="1794">
        <f>SUM(Print_Budget!F13:F17)</f>
        <v>173.88968749999998</v>
      </c>
      <c r="D11" s="3"/>
      <c r="E11" s="1190"/>
      <c r="F11" s="3"/>
      <c r="G11" s="1185" t="s">
        <v>494</v>
      </c>
      <c r="H11" s="1794">
        <f t="shared" si="0"/>
        <v>173.88968749999998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125.80101657673376</v>
      </c>
    </row>
    <row r="12" spans="2:14" ht="13.9" x14ac:dyDescent="0.4">
      <c r="B12" s="1185" t="s">
        <v>225</v>
      </c>
      <c r="C12" s="1794">
        <f>SUM(Print_Budget!F19:F22)</f>
        <v>124.5</v>
      </c>
      <c r="D12" s="3"/>
      <c r="E12" s="1190"/>
      <c r="F12" s="3"/>
      <c r="G12" s="1185" t="s">
        <v>225</v>
      </c>
      <c r="H12" s="1794">
        <f t="shared" si="0"/>
        <v>124.5</v>
      </c>
      <c r="I12" s="3"/>
      <c r="J12" s="3"/>
      <c r="K12" s="1190"/>
      <c r="L12" s="3"/>
      <c r="M12" s="648" t="s">
        <v>168</v>
      </c>
      <c r="N12" s="182">
        <f>SUM(N10:N11)</f>
        <v>790.1882461407456</v>
      </c>
    </row>
    <row r="13" spans="2:14" ht="13.9" x14ac:dyDescent="0.4">
      <c r="B13" s="1185" t="s">
        <v>421</v>
      </c>
      <c r="C13" s="1794">
        <f>Print_Budget!F30+Print_Budget!F31</f>
        <v>35.85</v>
      </c>
      <c r="D13" s="3"/>
      <c r="E13" s="1190"/>
      <c r="F13" s="3"/>
      <c r="G13" s="1185" t="s">
        <v>780</v>
      </c>
      <c r="H13" s="1794">
        <f t="shared" si="0"/>
        <v>35.85</v>
      </c>
      <c r="I13" s="3"/>
      <c r="J13" s="3"/>
      <c r="K13" s="1190"/>
      <c r="L13" s="3"/>
      <c r="M13" s="648" t="s">
        <v>790</v>
      </c>
      <c r="N13" s="1804">
        <f>Print_Summary!B27</f>
        <v>179.82</v>
      </c>
    </row>
    <row r="14" spans="2:14" ht="13.9" x14ac:dyDescent="0.4">
      <c r="B14" s="1185" t="s">
        <v>779</v>
      </c>
      <c r="C14" s="1794">
        <f>Print_Budget!F24+Print_Budget!F26</f>
        <v>17.131385983811342</v>
      </c>
      <c r="D14" s="3"/>
      <c r="E14" s="1190"/>
      <c r="F14" s="3"/>
      <c r="G14" s="1185" t="s">
        <v>779</v>
      </c>
      <c r="H14" s="1794">
        <f t="shared" si="0"/>
        <v>17.131385983811342</v>
      </c>
      <c r="I14" s="3"/>
      <c r="J14" s="3"/>
      <c r="K14" s="1190"/>
      <c r="L14" s="3"/>
      <c r="M14" s="652" t="s">
        <v>1007</v>
      </c>
      <c r="N14" s="173">
        <f>SUM(N12:N13)-N8</f>
        <v>790.1882461407456</v>
      </c>
    </row>
    <row r="15" spans="2:14" ht="13.9" x14ac:dyDescent="0.4">
      <c r="B15" s="1185" t="s">
        <v>422</v>
      </c>
      <c r="C15" s="1794">
        <f>Print_Budget!F28</f>
        <v>34.86698941353383</v>
      </c>
      <c r="D15" s="3"/>
      <c r="E15" s="1190"/>
      <c r="F15" s="3"/>
      <c r="G15" s="1185" t="s">
        <v>422</v>
      </c>
      <c r="H15" s="1794">
        <f t="shared" si="0"/>
        <v>34.86698941353383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13</v>
      </c>
      <c r="D16" s="3"/>
      <c r="E16" s="1190"/>
      <c r="F16" s="3"/>
      <c r="G16" s="1185" t="s">
        <v>778</v>
      </c>
      <c r="H16" s="1794">
        <f t="shared" si="0"/>
        <v>13</v>
      </c>
      <c r="I16" s="3"/>
      <c r="J16" s="3"/>
      <c r="K16" s="1190"/>
      <c r="L16" s="3"/>
      <c r="M16" s="652" t="s">
        <v>233</v>
      </c>
      <c r="N16" s="173">
        <f>N7-N14-N15</f>
        <v>37.811753859254281</v>
      </c>
    </row>
    <row r="17" spans="2:14" ht="13.9" x14ac:dyDescent="0.4">
      <c r="B17" s="1185" t="s">
        <v>1</v>
      </c>
      <c r="C17" s="1794">
        <f>Print_Budget!F35</f>
        <v>28</v>
      </c>
      <c r="D17" s="3"/>
      <c r="E17" s="1190"/>
      <c r="F17" s="3"/>
      <c r="G17" s="1185" t="s">
        <v>1</v>
      </c>
      <c r="H17" s="1794">
        <f t="shared" si="0"/>
        <v>28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34.378319648678698</v>
      </c>
      <c r="D18" s="3"/>
      <c r="E18" s="1190"/>
      <c r="F18" s="3"/>
      <c r="G18" s="1185" t="s">
        <v>205</v>
      </c>
      <c r="H18" s="1794">
        <f t="shared" si="0"/>
        <v>34.378319648678698</v>
      </c>
      <c r="I18" s="3"/>
      <c r="J18" s="3"/>
      <c r="K18" s="1190"/>
      <c r="L18" s="3"/>
      <c r="M18" s="648" t="s">
        <v>249</v>
      </c>
      <c r="N18" s="1803">
        <f>Print_Summary!B32</f>
        <v>213.51159530605307</v>
      </c>
    </row>
    <row r="19" spans="2:14" ht="13.9" x14ac:dyDescent="0.4">
      <c r="B19" s="1185" t="s">
        <v>214</v>
      </c>
      <c r="C19" s="1794">
        <f>Trips!E45+Trips!E51+Trips!E72+Trips!E76</f>
        <v>10.517320790426488</v>
      </c>
      <c r="D19" s="3"/>
      <c r="E19" s="1190"/>
      <c r="F19" s="3"/>
      <c r="G19" s="1185" t="s">
        <v>214</v>
      </c>
      <c r="H19" s="1794">
        <f t="shared" si="0"/>
        <v>10.517320790426488</v>
      </c>
      <c r="I19" s="3"/>
      <c r="J19" s="3"/>
      <c r="K19" s="1190"/>
      <c r="L19" s="3"/>
      <c r="M19" s="308" t="s">
        <v>650</v>
      </c>
      <c r="N19" s="173">
        <f>N14+N18</f>
        <v>1003.6998414467987</v>
      </c>
    </row>
    <row r="20" spans="2:14" ht="13.9" x14ac:dyDescent="0.4">
      <c r="B20" s="1185" t="s">
        <v>28</v>
      </c>
      <c r="C20" s="1794">
        <f>Print_Budget!F36</f>
        <v>31.30397613762857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-175.69984144679881</v>
      </c>
    </row>
    <row r="22" spans="2:14" ht="13.9" x14ac:dyDescent="0.4">
      <c r="B22" s="1185" t="s">
        <v>790</v>
      </c>
      <c r="C22" s="1794">
        <f>Print_Budget!F39+Print_Budget!F40</f>
        <v>168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11.819999999999999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205.16132810527972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167.00534401546685</v>
      </c>
      <c r="D26" s="3"/>
      <c r="E26" s="1190"/>
      <c r="F26" s="3"/>
      <c r="G26" s="648" t="s">
        <v>647</v>
      </c>
      <c r="H26" s="1801">
        <f>C28</f>
        <v>8.3502672007733434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38.155984089812883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8.3502672007733434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653.11222956401184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739.00787000311709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770.31184614074573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213.51159530605307</v>
      </c>
    </row>
    <row r="34" spans="2:3" ht="13.5" x14ac:dyDescent="0.35">
      <c r="B34" s="308" t="s">
        <v>650</v>
      </c>
      <c r="C34" s="173">
        <f>C32+C33</f>
        <v>983.82344144679882</v>
      </c>
    </row>
    <row r="35" spans="2:3" ht="13.5" x14ac:dyDescent="0.35">
      <c r="B35" s="308" t="s">
        <v>761</v>
      </c>
      <c r="C35" s="173">
        <f>(C4*C5*C6)-C24-C34</f>
        <v>-155.82344144679894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 t="str">
        <f>IF(Machine!B15&gt;0,Machine!B15," ")</f>
        <v xml:space="preserve"> </v>
      </c>
      <c r="E6" s="1525"/>
      <c r="F6" s="1354" t="str">
        <f>IF(Machine!$B15&gt;0,E6*Trips!$M5*$D6," ")</f>
        <v xml:space="preserve"> </v>
      </c>
      <c r="G6" s="1394">
        <f>IF(AND($D6&gt;0,Machine!$H15&lt;=170),$E6,0)</f>
        <v>0</v>
      </c>
      <c r="H6" s="1393" t="str">
        <f>IF(Machine!$B15&gt;0,G6*Trips!$M5*$D6," ")</f>
        <v xml:space="preserve"> </v>
      </c>
      <c r="I6" s="1398">
        <f>IF(AND($D6&gt;0,Machine!$H15&gt;170,Machine!$H15&lt;200),$E6,0)</f>
        <v>0</v>
      </c>
      <c r="J6" s="1399" t="str">
        <f>IF(Machine!$B15&gt;0,I6*Trips!$M5*$D6," ")</f>
        <v xml:space="preserve"> </v>
      </c>
      <c r="K6" s="1404">
        <f>IF(AND($D6&gt;0,Machine!$H15&gt;=200,Machine!$H15&lt;250),$E6,0)</f>
        <v>0</v>
      </c>
      <c r="L6" s="1405" t="str">
        <f>IF(Machine!$B15&gt;0,K6*Trips!$M5*$D6," ")</f>
        <v xml:space="preserve"> </v>
      </c>
      <c r="M6" s="1413">
        <f>IF(AND($D6&gt;0,Machine!$H15&gt;=250),$E6,0)</f>
        <v>0</v>
      </c>
      <c r="N6" s="1412" t="str">
        <f>IF(Machine!$B15&gt;0,M6*Trips!$M5*$D6," ")</f>
        <v xml:space="preserve"> 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 t="str">
        <f>IF(Machine!B19&gt;0,Machine!B19," ")</f>
        <v xml:space="preserve"> </v>
      </c>
      <c r="E10" s="1525"/>
      <c r="F10" s="1354" t="str">
        <f>IF(Machine!$B19&gt;0,E10*Trips!$M9*$D10," ")</f>
        <v xml:space="preserve"> </v>
      </c>
      <c r="G10" s="1394">
        <f>IF(AND($D10&gt;0,Machine!$H19&lt;=170),$E10,0)</f>
        <v>0</v>
      </c>
      <c r="H10" s="1393" t="str">
        <f>IF(Machine!$B19&gt;0,G10*Trips!$M9*$D10," ")</f>
        <v xml:space="preserve"> </v>
      </c>
      <c r="I10" s="1398">
        <f>IF(AND($D10&gt;0,Machine!$H19&gt;170,Machine!$H19&lt;200),$E10,0)</f>
        <v>0</v>
      </c>
      <c r="J10" s="1399" t="str">
        <f>IF(Machine!$B19&gt;0,I10*Trips!$M9*$D10," ")</f>
        <v xml:space="preserve"> </v>
      </c>
      <c r="K10" s="1404">
        <f>IF(AND($D10&gt;0,Machine!$H19&gt;=200,Machine!$H19&lt;250),$E10,0)</f>
        <v>0</v>
      </c>
      <c r="L10" s="1405" t="str">
        <f>IF(Machine!$B19&gt;0,K10*Trips!$M9*$D10," ")</f>
        <v xml:space="preserve"> </v>
      </c>
      <c r="M10" s="1413">
        <f>IF(AND($D10&gt;0,Machine!$H19&gt;=250),$E10,0)</f>
        <v>0</v>
      </c>
      <c r="N10" s="1412" t="str">
        <f>IF(Machine!$B19&gt;0,M10*Trips!$M9*$D10," ")</f>
        <v xml:space="preserve"> 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>
        <f>IF(Machine!B20&gt;0,Machine!B20," ")</f>
        <v>2</v>
      </c>
      <c r="E11" s="1525">
        <v>1000</v>
      </c>
      <c r="F11" s="1354">
        <f>IF(Machine!$B20&gt;0,E11*Trips!$M10*$D11," ")</f>
        <v>120.6140350877193</v>
      </c>
      <c r="G11" s="1394">
        <f>IF(AND($D11&gt;0,Machine!$H20&lt;=170),$E11,0)</f>
        <v>0</v>
      </c>
      <c r="H11" s="1393">
        <f>IF(Machine!$B20&gt;0,G11*Trips!$M10*$D11," ")</f>
        <v>0</v>
      </c>
      <c r="I11" s="1398">
        <f>IF(AND($D11&gt;0,Machine!$H20&gt;170,Machine!$H20&lt;200),$E11,0)</f>
        <v>0</v>
      </c>
      <c r="J11" s="1399">
        <f>IF(Machine!$B20&gt;0,I11*Trips!$M10*$D11," ")</f>
        <v>0</v>
      </c>
      <c r="K11" s="1404">
        <f>IF(AND($D11&gt;0,Machine!$H20&gt;=200,Machine!$H20&lt;250),$E11,0)</f>
        <v>1000</v>
      </c>
      <c r="L11" s="1405">
        <f>IF(Machine!$B20&gt;0,K11*Trips!$M10*$D11," ")</f>
        <v>120.6140350877193</v>
      </c>
      <c r="M11" s="1413">
        <f>IF(AND($D11&gt;0,Machine!$H20&gt;=250),$E11,0)</f>
        <v>0</v>
      </c>
      <c r="N11" s="1412">
        <f>IF(Machine!$B20&gt;0,M11*Trips!$M10*$D11," ")</f>
        <v>0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 t="str">
        <f>IF(Machine!B25&gt;0,Machine!B25," ")</f>
        <v xml:space="preserve"> </v>
      </c>
      <c r="E16" s="1525"/>
      <c r="F16" s="1354" t="str">
        <f>IF(Machine!$B25&gt;0,E16*Trips!$M15*$D16," ")</f>
        <v xml:space="preserve"> </v>
      </c>
      <c r="G16" s="1394">
        <f>IF(AND($D16&gt;0,Machine!$H25&lt;=170),$E16,0)</f>
        <v>0</v>
      </c>
      <c r="H16" s="1393" t="str">
        <f>IF(Machine!$B25&gt;0,G16*Trips!$M15*$D16," ")</f>
        <v xml:space="preserve"> </v>
      </c>
      <c r="I16" s="1398">
        <f>IF(AND($D16&gt;0,Machine!$H25&gt;170,Machine!$H25&lt;200),$E16,0)</f>
        <v>0</v>
      </c>
      <c r="J16" s="1399" t="str">
        <f>IF(Machine!$B25&gt;0,I16*Trips!$M15*$D16," ")</f>
        <v xml:space="preserve"> </v>
      </c>
      <c r="K16" s="1404">
        <f>IF(AND($D16&gt;0,Machine!$H25&gt;=200,Machine!$H25&lt;250),$E16,0)</f>
        <v>0</v>
      </c>
      <c r="L16" s="1405" t="str">
        <f>IF(Machine!$B25&gt;0,K16*Trips!$M15*$D16," ")</f>
        <v xml:space="preserve"> </v>
      </c>
      <c r="M16" s="1413">
        <f>IF(AND($D16&gt;0,Machine!$H25&gt;=250),$E16,0)</f>
        <v>0</v>
      </c>
      <c r="N16" s="1412" t="str">
        <f>IF(Machine!$B25&gt;0,M16*Trips!$M15*$D16," ")</f>
        <v xml:space="preserve"> 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 t="str">
        <f>IF(Machine!B27&gt;0,Machine!B27," ")</f>
        <v xml:space="preserve"> </v>
      </c>
      <c r="E18" s="1525"/>
      <c r="F18" s="1354" t="str">
        <f>IF(Machine!$B27&gt;0,E18*Trips!$M17*$D18," ")</f>
        <v xml:space="preserve"> </v>
      </c>
      <c r="G18" s="1394">
        <f>IF(AND($D18&gt;0,Machine!$H27&lt;=170),$E18,0)</f>
        <v>0</v>
      </c>
      <c r="H18" s="1393" t="str">
        <f>IF(Machine!$B27&gt;0,G18*Trips!$M17*$D18," ")</f>
        <v xml:space="preserve"> </v>
      </c>
      <c r="I18" s="1398">
        <f>IF(AND($D18&gt;0,Machine!$H27&gt;170,Machine!$H27&lt;200),$E18,0)</f>
        <v>0</v>
      </c>
      <c r="J18" s="1399" t="str">
        <f>IF(Machine!$B27&gt;0,I18*Trips!$M17*$D18," ")</f>
        <v xml:space="preserve"> </v>
      </c>
      <c r="K18" s="1404">
        <f>IF(AND($D18&gt;0,Machine!$H27&gt;=200,Machine!$H27&lt;250),$E18,0)</f>
        <v>0</v>
      </c>
      <c r="L18" s="1405" t="str">
        <f>IF(Machine!$B27&gt;0,K18*Trips!$M17*$D18," ")</f>
        <v xml:space="preserve"> </v>
      </c>
      <c r="M18" s="1413">
        <f>IF(AND($D18&gt;0,Machine!$H27&gt;=250),$E18,0)</f>
        <v>0</v>
      </c>
      <c r="N18" s="1412" t="str">
        <f>IF(Machine!$B27&gt;0,M18*Trips!$M17*$D18," ")</f>
        <v xml:space="preserve"> 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 t="str">
        <f>IF(Machine!B28&gt;0,Machine!B28," ")</f>
        <v xml:space="preserve"> </v>
      </c>
      <c r="E19" s="1525"/>
      <c r="F19" s="1354" t="str">
        <f>IF(Machine!$B28&gt;0,E19*Trips!$M18*$D19," ")</f>
        <v xml:space="preserve"> </v>
      </c>
      <c r="G19" s="1394">
        <f>IF(AND($D19&gt;0,Machine!$H28&lt;=170),$E19,0)</f>
        <v>0</v>
      </c>
      <c r="H19" s="1393" t="str">
        <f>IF(Machine!$B28&gt;0,G19*Trips!$M18*$D19," ")</f>
        <v xml:space="preserve"> </v>
      </c>
      <c r="I19" s="1398">
        <f>IF(AND($D19&gt;0,Machine!$H28&gt;170,Machine!$H28&lt;200),$E19,0)</f>
        <v>0</v>
      </c>
      <c r="J19" s="1399" t="str">
        <f>IF(Machine!$B28&gt;0,I19*Trips!$M18*$D19," ")</f>
        <v xml:space="preserve"> </v>
      </c>
      <c r="K19" s="1404">
        <f>IF(AND($D19&gt;0,Machine!$H28&gt;=200,Machine!$H28&lt;250),$E19,0)</f>
        <v>0</v>
      </c>
      <c r="L19" s="1405" t="str">
        <f>IF(Machine!$B28&gt;0,K19*Trips!$M18*$D19," ")</f>
        <v xml:space="preserve"> </v>
      </c>
      <c r="M19" s="1413">
        <f>IF(AND($D19&gt;0,Machine!$H28&gt;=250),$E19,0)</f>
        <v>0</v>
      </c>
      <c r="N19" s="1412" t="str">
        <f>IF(Machine!$B28&gt;0,M19*Trips!$M18*$D19," ")</f>
        <v xml:space="preserve"> 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>
        <f>IF(Machine!B29&gt;0,Machine!B29," ")</f>
        <v>1</v>
      </c>
      <c r="E20" s="1525">
        <v>1000</v>
      </c>
      <c r="F20" s="1354">
        <f>IF(Machine!$B29&gt;0,E20*Trips!$M19*$D20," ")</f>
        <v>38.768796992481192</v>
      </c>
      <c r="G20" s="1394">
        <f>IF(AND($D20&gt;0,Machine!$H29&lt;=170),$E20,0)</f>
        <v>0</v>
      </c>
      <c r="H20" s="1393">
        <f>IF(Machine!$B29&gt;0,G20*Trips!$M19*$D20," ")</f>
        <v>0</v>
      </c>
      <c r="I20" s="1398">
        <f>IF(AND($D20&gt;0,Machine!$H29&gt;170,Machine!$H29&lt;200),$E20,0)</f>
        <v>0</v>
      </c>
      <c r="J20" s="1399">
        <f>IF(Machine!$B29&gt;0,I20*Trips!$M19*$D20," ")</f>
        <v>0</v>
      </c>
      <c r="K20" s="1404">
        <f>IF(AND($D20&gt;0,Machine!$H29&gt;=200,Machine!$H29&lt;250),$E20,0)</f>
        <v>1000</v>
      </c>
      <c r="L20" s="1405">
        <f>IF(Machine!$B29&gt;0,K20*Trips!$M19*$D20," ")</f>
        <v>38.768796992481192</v>
      </c>
      <c r="M20" s="1413">
        <f>IF(AND($D20&gt;0,Machine!$H29&gt;=250),$E20,0)</f>
        <v>0</v>
      </c>
      <c r="N20" s="1412">
        <f>IF(Machine!$B29&gt;0,M20*Trips!$M19*$D20," ")</f>
        <v>0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 t="str">
        <f>IF(Machine!B32&gt;0,Machine!B32," ")</f>
        <v xml:space="preserve"> </v>
      </c>
      <c r="E23" s="1525"/>
      <c r="F23" s="1354" t="str">
        <f>IF(Machine!$B32&gt;0,E23*Trips!$M22*$D23," ")</f>
        <v xml:space="preserve"> </v>
      </c>
      <c r="G23" s="1394">
        <f>IF(AND($D23&gt;0,Machine!$H32&lt;=170),$E23,0)</f>
        <v>0</v>
      </c>
      <c r="H23" s="1393" t="str">
        <f>IF(Machine!$B32&gt;0,G23*Trips!$M22*$D23," ")</f>
        <v xml:space="preserve"> </v>
      </c>
      <c r="I23" s="1398">
        <f>IF(AND($D23&gt;0,Machine!$H32&gt;170,Machine!$H32&lt;200),$E23,0)</f>
        <v>0</v>
      </c>
      <c r="J23" s="1399" t="str">
        <f>IF(Machine!$B32&gt;0,I23*Trips!$M22*$D23," ")</f>
        <v xml:space="preserve"> </v>
      </c>
      <c r="K23" s="1404">
        <f>IF(AND($D23&gt;0,Machine!$H32&gt;=200,Machine!$H32&lt;250),$E23,0)</f>
        <v>0</v>
      </c>
      <c r="L23" s="1405" t="str">
        <f>IF(Machine!$B32&gt;0,K23*Trips!$M22*$D23," ")</f>
        <v xml:space="preserve"> </v>
      </c>
      <c r="M23" s="1413">
        <f>IF(AND($D23&gt;0,Machine!$H32&gt;=250),$E23,0)</f>
        <v>0</v>
      </c>
      <c r="N23" s="1412" t="str">
        <f>IF(Machine!$B32&gt;0,M23*Trips!$M22*$D23," ")</f>
        <v xml:space="preserve"> 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>
        <f>IF(Machine!B34&gt;0,Machine!B34," ")</f>
        <v>1</v>
      </c>
      <c r="E25" s="1525">
        <v>1000</v>
      </c>
      <c r="F25" s="1354">
        <f>IF(Machine!$B34&gt;0,E25*Trips!$M24*$D25," ")</f>
        <v>36.488279522335247</v>
      </c>
      <c r="G25" s="1394">
        <f>IF(AND($D25&gt;0,Machine!$H34&lt;=170),$E25,0)</f>
        <v>0</v>
      </c>
      <c r="H25" s="1393">
        <f>IF(Machine!$B34&gt;0,G25*Trips!$M24*$D25," ")</f>
        <v>0</v>
      </c>
      <c r="I25" s="1398">
        <f>IF(AND($D25&gt;0,Machine!$H34&gt;170,Machine!$H34&lt;200),$E25,0)</f>
        <v>0</v>
      </c>
      <c r="J25" s="1399">
        <f>IF(Machine!$B34&gt;0,I25*Trips!$M24*$D25," ")</f>
        <v>0</v>
      </c>
      <c r="K25" s="1404">
        <f>IF(AND($D25&gt;0,Machine!$H34&gt;=200,Machine!$H34&lt;250),$E25,0)</f>
        <v>1000</v>
      </c>
      <c r="L25" s="1405">
        <f>IF(Machine!$B34&gt;0,K25*Trips!$M24*$D25," ")</f>
        <v>36.488279522335247</v>
      </c>
      <c r="M25" s="1413">
        <f>IF(AND($D25&gt;0,Machine!$H34&gt;=250),$E25,0)</f>
        <v>0</v>
      </c>
      <c r="N25" s="1412">
        <f>IF(Machine!$B34&gt;0,M25*Trips!$M24*$D25," ")</f>
        <v>0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>
        <f>IF(Machine!B35&gt;0,Machine!B35," ")</f>
        <v>1</v>
      </c>
      <c r="E26" s="1525">
        <v>1000</v>
      </c>
      <c r="F26" s="1354">
        <f>IF(Machine!$B35&gt;0,E26*Trips!$M25*$D26," ")</f>
        <v>58.760683760683754</v>
      </c>
      <c r="G26" s="1394">
        <f>IF(AND($D26&gt;0,Machine!$H35&lt;=170),$E26,0)</f>
        <v>0</v>
      </c>
      <c r="H26" s="1393">
        <f>IF(Machine!$B35&gt;0,G26*Trips!$M25*$D26," ")</f>
        <v>0</v>
      </c>
      <c r="I26" s="1398">
        <f>IF(AND($D26&gt;0,Machine!$H35&gt;170,Machine!$H35&lt;200),$E26,0)</f>
        <v>1000</v>
      </c>
      <c r="J26" s="1399">
        <f>IF(Machine!$B35&gt;0,I26*Trips!$M25*$D26," ")</f>
        <v>58.760683760683754</v>
      </c>
      <c r="K26" s="1404">
        <f>IF(AND($D26&gt;0,Machine!$H35&gt;=200,Machine!$H35&lt;250),$E26,0)</f>
        <v>0</v>
      </c>
      <c r="L26" s="1405">
        <f>IF(Machine!$B35&gt;0,K26*Trips!$M25*$D26," ")</f>
        <v>0</v>
      </c>
      <c r="M26" s="1413">
        <f>IF(AND($D26&gt;0,Machine!$H35&gt;=250),$E26,0)</f>
        <v>0</v>
      </c>
      <c r="N26" s="1412">
        <f>IF(Machine!$B35&gt;0,M26*Trips!$M25*$D26," ")</f>
        <v>0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 t="str">
        <f>IF(Machine!B36&gt;0,Machine!B36," ")</f>
        <v xml:space="preserve"> </v>
      </c>
      <c r="E27" s="1525"/>
      <c r="F27" s="1354" t="str">
        <f>IF(Machine!$B36&gt;0,E27*Trips!$M26*$D27," ")</f>
        <v xml:space="preserve"> </v>
      </c>
      <c r="G27" s="1394">
        <f>IF(AND($D27&gt;0,Machine!$H36&lt;=170),$E27,0)</f>
        <v>0</v>
      </c>
      <c r="H27" s="1393" t="str">
        <f>IF(Machine!$B36&gt;0,G27*Trips!$M26*$D27," ")</f>
        <v xml:space="preserve"> </v>
      </c>
      <c r="I27" s="1398">
        <f>IF(AND($D27&gt;0,Machine!$H36&gt;170,Machine!$H36&lt;200),$E27,0)</f>
        <v>0</v>
      </c>
      <c r="J27" s="1399" t="str">
        <f>IF(Machine!$B36&gt;0,I27*Trips!$M26*$D27," ")</f>
        <v xml:space="preserve"> </v>
      </c>
      <c r="K27" s="1404">
        <f>IF(AND($D27&gt;0,Machine!$H36&gt;=200,Machine!$H36&lt;250),$E27,0)</f>
        <v>0</v>
      </c>
      <c r="L27" s="1405" t="str">
        <f>IF(Machine!$B36&gt;0,K27*Trips!$M26*$D27," ")</f>
        <v xml:space="preserve"> </v>
      </c>
      <c r="M27" s="1413">
        <f>IF(AND($D27&gt;0,Machine!$H36&gt;=250),$E27,0)</f>
        <v>0</v>
      </c>
      <c r="N27" s="1412" t="str">
        <f>IF(Machine!$B36&gt;0,M27*Trips!$M26*$D27," ")</f>
        <v xml:space="preserve"> 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 t="str">
        <f>IF(Machine!B37&gt;0,Machine!B37," ")</f>
        <v xml:space="preserve"> </v>
      </c>
      <c r="E28" s="1525"/>
      <c r="F28" s="1354" t="str">
        <f>IF(Machine!$B37&gt;0,E28*Trips!$M27*$D28," ")</f>
        <v xml:space="preserve"> </v>
      </c>
      <c r="G28" s="1394">
        <f>IF(AND($D28&gt;0,Machine!$H37&lt;=170),$E28,0)</f>
        <v>0</v>
      </c>
      <c r="H28" s="1393" t="str">
        <f>IF(Machine!$B37&gt;0,G28*Trips!$M27*$D28," ")</f>
        <v xml:space="preserve"> </v>
      </c>
      <c r="I28" s="1398">
        <f>IF(AND($D28&gt;0,Machine!$H37&gt;170,Machine!$H37&lt;200),$E28,0)</f>
        <v>0</v>
      </c>
      <c r="J28" s="1399" t="str">
        <f>IF(Machine!$B37&gt;0,I28*Trips!$M27*$D28," ")</f>
        <v xml:space="preserve"> </v>
      </c>
      <c r="K28" s="1404">
        <f>IF(AND($D28&gt;0,Machine!$H37&gt;=200,Machine!$H37&lt;250),$E28,0)</f>
        <v>0</v>
      </c>
      <c r="L28" s="1405" t="str">
        <f>IF(Machine!$B37&gt;0,K28*Trips!$M27*$D28," ")</f>
        <v xml:space="preserve"> </v>
      </c>
      <c r="M28" s="1413">
        <f>IF(AND($D28&gt;0,Machine!$H37&gt;=250),$E28,0)</f>
        <v>0</v>
      </c>
      <c r="N28" s="1412" t="str">
        <f>IF(Machine!$B37&gt;0,M28*Trips!$M27*$D28," ")</f>
        <v xml:space="preserve"> 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>
        <f>IF(Machine!B41&gt;0,Machine!B41," ")</f>
        <v>1</v>
      </c>
      <c r="E32" s="1525">
        <v>1000</v>
      </c>
      <c r="F32" s="1354">
        <f>IF(Machine!$B41&gt;0,E32*Trips!$M31*$D32," ")</f>
        <v>49.930699897395449</v>
      </c>
      <c r="G32" s="1394">
        <f>IF(AND($D32&gt;0,Machine!$H41&lt;=170),$E32,0)</f>
        <v>0</v>
      </c>
      <c r="H32" s="1393">
        <f>IF(Machine!$B41&gt;0,G32*Trips!$M31*$D32," ")</f>
        <v>0</v>
      </c>
      <c r="I32" s="1398">
        <f>IF(AND($D32&gt;0,Machine!$H41&gt;170,Machine!$H41&lt;200),$E32,0)</f>
        <v>1000</v>
      </c>
      <c r="J32" s="1399">
        <f>IF(Machine!$B41&gt;0,I32*Trips!$M31*$D32," ")</f>
        <v>49.930699897395449</v>
      </c>
      <c r="K32" s="1404">
        <f>IF(AND($D32&gt;0,Machine!$H41&gt;=200,Machine!$H41&lt;250),$E32,0)</f>
        <v>0</v>
      </c>
      <c r="L32" s="1405">
        <f>IF(Machine!$B41&gt;0,K32*Trips!$M31*$D32," ")</f>
        <v>0</v>
      </c>
      <c r="M32" s="1413">
        <f>IF(AND($D32&gt;0,Machine!$H41&gt;=250),$E32,0)</f>
        <v>0</v>
      </c>
      <c r="N32" s="1412">
        <f>IF(Machine!$B41&gt;0,M32*Trips!$M31*$D32," ")</f>
        <v>0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 t="str">
        <f>IF(Machine!B43&gt;0,Machine!B43," ")</f>
        <v xml:space="preserve"> </v>
      </c>
      <c r="E34" s="1525"/>
      <c r="F34" s="1354" t="str">
        <f>IF(Machine!$B43&gt;0,E34*Trips!$M33*$D34," ")</f>
        <v xml:space="preserve"> </v>
      </c>
      <c r="G34" s="1394">
        <f>IF(AND($D34&gt;0,Machine!$H43&lt;=170),$E34,0)</f>
        <v>0</v>
      </c>
      <c r="H34" s="1393" t="str">
        <f>IF(Machine!$B43&gt;0,G34*Trips!$M33*$D34," ")</f>
        <v xml:space="preserve"> </v>
      </c>
      <c r="I34" s="1398">
        <f>IF(AND($D34&gt;0,Machine!$H43&gt;170,Machine!$H43&lt;200),$E34,0)</f>
        <v>0</v>
      </c>
      <c r="J34" s="1399" t="str">
        <f>IF(Machine!$B43&gt;0,I34*Trips!$M33*$D34," ")</f>
        <v xml:space="preserve"> </v>
      </c>
      <c r="K34" s="1404">
        <f>IF(AND($D34&gt;0,Machine!$H43&gt;=200,Machine!$H43&lt;250),$E34,0)</f>
        <v>0</v>
      </c>
      <c r="L34" s="1405" t="str">
        <f>IF(Machine!$B43&gt;0,K34*Trips!$M33*$D34," ")</f>
        <v xml:space="preserve"> </v>
      </c>
      <c r="M34" s="1413">
        <f>IF(AND($D34&gt;0,Machine!$H43&gt;=250),$E34,0)</f>
        <v>0</v>
      </c>
      <c r="N34" s="1412" t="str">
        <f>IF(Machine!$B43&gt;0,M34*Trips!$M33*$D34," ")</f>
        <v xml:space="preserve"> 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 t="str">
        <f>IF(Machine!B46&gt;0,Machine!B46," ")</f>
        <v xml:space="preserve"> </v>
      </c>
      <c r="E37" s="1525"/>
      <c r="F37" s="1354" t="str">
        <f>IF(Machine!$B46&gt;0,E37*Trips!$M36*$D37," ")</f>
        <v xml:space="preserve"> </v>
      </c>
      <c r="G37" s="1394">
        <f>IF(AND($D37&gt;0,Machine!$H46&lt;=170),$E37,0)</f>
        <v>0</v>
      </c>
      <c r="H37" s="1393" t="str">
        <f>IF(Machine!$B46&gt;0,G37*Trips!$M36*$D37," ")</f>
        <v xml:space="preserve"> </v>
      </c>
      <c r="I37" s="1398">
        <f>IF(AND($D37&gt;0,Machine!$H46&gt;170,Machine!$H46&lt;200),$E37,0)</f>
        <v>0</v>
      </c>
      <c r="J37" s="1399" t="str">
        <f>IF(Machine!$B46&gt;0,I37*Trips!$M36*$D37," ")</f>
        <v xml:space="preserve"> </v>
      </c>
      <c r="K37" s="1404">
        <f>IF(AND($D37&gt;0,Machine!$H46&gt;=200,Machine!$H46&lt;250),$E37,0)</f>
        <v>0</v>
      </c>
      <c r="L37" s="1405" t="str">
        <f>IF(Machine!$B46&gt;0,K37*Trips!$M36*$D37," ")</f>
        <v xml:space="preserve"> </v>
      </c>
      <c r="M37" s="1413">
        <f>IF(AND($D37&gt;0,Machine!$H46&gt;=250),$E37,0)</f>
        <v>0</v>
      </c>
      <c r="N37" s="1412" t="str">
        <f>IF(Machine!$B46&gt;0,M37*Trips!$M36*$D37," ")</f>
        <v xml:space="preserve"> 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 t="str">
        <f>IF(Machine!B47&gt;0,Machine!B47," ")</f>
        <v xml:space="preserve"> </v>
      </c>
      <c r="E38" s="1525"/>
      <c r="F38" s="1354" t="str">
        <f>IF(Machine!$B47&gt;0,E38*Trips!$M37*$D38," ")</f>
        <v xml:space="preserve"> </v>
      </c>
      <c r="G38" s="1394">
        <f>IF(AND($D38&gt;0,Machine!$H47&lt;=170),$E38,0)</f>
        <v>0</v>
      </c>
      <c r="H38" s="1393" t="str">
        <f>IF(Machine!$B47&gt;0,G38*Trips!$M37*$D38," ")</f>
        <v xml:space="preserve"> </v>
      </c>
      <c r="I38" s="1398">
        <f>IF(AND($D38&gt;0,Machine!$H47&gt;170,Machine!$H47&lt;200),$E38,0)</f>
        <v>0</v>
      </c>
      <c r="J38" s="1399" t="str">
        <f>IF(Machine!$B47&gt;0,I38*Trips!$M37*$D38," ")</f>
        <v xml:space="preserve"> </v>
      </c>
      <c r="K38" s="1404">
        <f>IF(AND($D38&gt;0,Machine!$H47&gt;=200,Machine!$H47&lt;250),$E38,0)</f>
        <v>0</v>
      </c>
      <c r="L38" s="1405" t="str">
        <f>IF(Machine!$B47&gt;0,K38*Trips!$M37*$D38," ")</f>
        <v xml:space="preserve"> </v>
      </c>
      <c r="M38" s="1413">
        <f>IF(AND($D38&gt;0,Machine!$H47&gt;=250),$E38,0)</f>
        <v>0</v>
      </c>
      <c r="N38" s="1412" t="str">
        <f>IF(Machine!$B47&gt;0,M38*Trips!$M37*$D38," ")</f>
        <v xml:space="preserve"> 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 t="str">
        <f>IF(Machine!B48&gt;0,Machine!B48," ")</f>
        <v xml:space="preserve"> </v>
      </c>
      <c r="E39" s="1525"/>
      <c r="F39" s="1354" t="str">
        <f>IF(Machine!$B48&gt;0,E39*Trips!$M38*$D39," ")</f>
        <v xml:space="preserve"> </v>
      </c>
      <c r="G39" s="1394">
        <f>IF(AND($D39&gt;0,Machine!$H48&lt;=170),$E39,0)</f>
        <v>0</v>
      </c>
      <c r="H39" s="1393" t="str">
        <f>IF(Machine!$B48&gt;0,G39*Trips!$M38*$D39," ")</f>
        <v xml:space="preserve"> </v>
      </c>
      <c r="I39" s="1398">
        <f>IF(AND($D39&gt;0,Machine!$H48&gt;170,Machine!$H48&lt;200),$E39,0)</f>
        <v>0</v>
      </c>
      <c r="J39" s="1399" t="str">
        <f>IF(Machine!$B48&gt;0,I39*Trips!$M38*$D39," ")</f>
        <v xml:space="preserve"> </v>
      </c>
      <c r="K39" s="1404">
        <f>IF(AND($D39&gt;0,Machine!$H48&gt;=200,Machine!$H48&lt;250),$E39,0)</f>
        <v>0</v>
      </c>
      <c r="L39" s="1405" t="str">
        <f>IF(Machine!$B48&gt;0,K39*Trips!$M38*$D39," ")</f>
        <v xml:space="preserve"> </v>
      </c>
      <c r="M39" s="1413">
        <f>IF(AND($D39&gt;0,Machine!$H48&gt;=250),$E39,0)</f>
        <v>0</v>
      </c>
      <c r="N39" s="1412" t="str">
        <f>IF(Machine!$B48&gt;0,M39*Trips!$M38*$D39," ")</f>
        <v xml:space="preserve"> 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 t="str">
        <f>IF(Machine!B49&gt;0,Machine!B49," ")</f>
        <v xml:space="preserve"> </v>
      </c>
      <c r="E40" s="1525"/>
      <c r="F40" s="1354" t="str">
        <f>IF(Machine!$B49&gt;0,E40*Trips!$M39*$D40," ")</f>
        <v xml:space="preserve"> </v>
      </c>
      <c r="G40" s="1394">
        <f>IF(AND($D40&gt;0,Machine!$H49&lt;=170),$E40,0)</f>
        <v>0</v>
      </c>
      <c r="H40" s="1393" t="str">
        <f>IF(Machine!$B49&gt;0,G40*Trips!$M39*$D40," ")</f>
        <v xml:space="preserve"> </v>
      </c>
      <c r="I40" s="1398">
        <f>IF(AND($D40&gt;0,Machine!$H49&gt;170,Machine!$H49&lt;200),$E40,0)</f>
        <v>0</v>
      </c>
      <c r="J40" s="1399" t="str">
        <f>IF(Machine!$B49&gt;0,I40*Trips!$M39*$D40," ")</f>
        <v xml:space="preserve"> </v>
      </c>
      <c r="K40" s="1404">
        <f>IF(AND($D40&gt;0,Machine!$H49&gt;=200,Machine!$H49&lt;250),$E40,0)</f>
        <v>0</v>
      </c>
      <c r="L40" s="1405" t="str">
        <f>IF(Machine!$B49&gt;0,K40*Trips!$M39*$D40," ")</f>
        <v xml:space="preserve"> </v>
      </c>
      <c r="M40" s="1413">
        <f>IF(AND($D40&gt;0,Machine!$H49&gt;=250),$E40,0)</f>
        <v>0</v>
      </c>
      <c r="N40" s="1412" t="str">
        <f>IF(Machine!$B49&gt;0,M40*Trips!$M39*$D40," ")</f>
        <v xml:space="preserve"> 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>
        <f>IF(Machine!B51&gt;0,Machine!B51," ")</f>
        <v>1</v>
      </c>
      <c r="E42" s="1525">
        <v>1000</v>
      </c>
      <c r="F42" s="1354">
        <f>IF(Machine!$B51&gt;0,E42*Trips!$M41*$D42," ")</f>
        <v>73.660714285714292</v>
      </c>
      <c r="G42" s="1394">
        <f>IF(AND($D42&gt;0,Machine!$H51&lt;=170),$E42,0)</f>
        <v>0</v>
      </c>
      <c r="H42" s="1393">
        <f>IF(Machine!$B51&gt;0,G42*Trips!$M41*$D42," ")</f>
        <v>0</v>
      </c>
      <c r="I42" s="1398">
        <f>IF(AND($D42&gt;0,Machine!$H51&gt;170,Machine!$H51&lt;200),$E42,0)</f>
        <v>1000</v>
      </c>
      <c r="J42" s="1399">
        <f>IF(Machine!$B51&gt;0,I42*Trips!$M41*$D42," ")</f>
        <v>73.660714285714292</v>
      </c>
      <c r="K42" s="1404">
        <f>IF(AND($D42&gt;0,Machine!$H51&gt;=200,Machine!$H51&lt;250),$E42,0)</f>
        <v>0</v>
      </c>
      <c r="L42" s="1405">
        <f>IF(Machine!$B51&gt;0,K42*Trips!$M41*$D42," ")</f>
        <v>0</v>
      </c>
      <c r="M42" s="1413">
        <f>IF(AND($D42&gt;0,Machine!$H51&gt;=250),$E42,0)</f>
        <v>0</v>
      </c>
      <c r="N42" s="1412">
        <f>IF(Machine!$B51&gt;0,M42*Trips!$M41*$D42," ")</f>
        <v>0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 t="str">
        <f>IF(Machine!B52&gt;0,Machine!B52," ")</f>
        <v xml:space="preserve"> </v>
      </c>
      <c r="E43" s="1525"/>
      <c r="F43" s="1354" t="str">
        <f>IF(Machine!$B52&gt;0,E43*Trips!$M42*$D43," ")</f>
        <v xml:space="preserve"> </v>
      </c>
      <c r="G43" s="1394">
        <f>IF(AND($D43&gt;0,Machine!$H52&lt;=170),$E43,0)</f>
        <v>0</v>
      </c>
      <c r="H43" s="1393" t="str">
        <f>IF(Machine!$B52&gt;0,G43*Trips!$M42*$D43," ")</f>
        <v xml:space="preserve"> </v>
      </c>
      <c r="I43" s="1398">
        <f>IF(AND($D43&gt;0,Machine!$H52&gt;170,Machine!$H52&lt;200),$E43,0)</f>
        <v>0</v>
      </c>
      <c r="J43" s="1399" t="str">
        <f>IF(Machine!$B52&gt;0,I43*Trips!$M42*$D43," ")</f>
        <v xml:space="preserve"> </v>
      </c>
      <c r="K43" s="1404">
        <f>IF(AND($D43&gt;0,Machine!$H52&gt;=200,Machine!$H52&lt;250),$E43,0)</f>
        <v>0</v>
      </c>
      <c r="L43" s="1405" t="str">
        <f>IF(Machine!$B52&gt;0,K43*Trips!$M42*$D43," ")</f>
        <v xml:space="preserve"> </v>
      </c>
      <c r="M43" s="1413">
        <f>IF(AND($D43&gt;0,Machine!$H52&gt;=250),$E43,0)</f>
        <v>0</v>
      </c>
      <c r="N43" s="1412" t="str">
        <f>IF(Machine!$B52&gt;0,M43*Trips!$M42*$D43," ")</f>
        <v xml:space="preserve"> 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>
        <f>IF(Machine!B67&gt;0,Machine!B67," ")</f>
        <v>1</v>
      </c>
      <c r="E58" s="1525"/>
      <c r="F58" s="1354">
        <f>IF(Machine!$B67&gt;0,E58*Trips!$M$57*$D58," ")</f>
        <v>0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>
        <f>IF(Machine!B68&gt;0,Machine!B68," ")</f>
        <v>1</v>
      </c>
      <c r="E59" s="1525"/>
      <c r="F59" s="1354">
        <f>IF(Machine!$B68&gt;0,E59*Trips!$M$57*$D59," ")</f>
        <v>0</v>
      </c>
      <c r="G59" s="1394">
        <f>IF(AND($D59&gt;0,Machine!$H68&lt;=170),$E59,0)</f>
        <v>0</v>
      </c>
      <c r="H59" s="1393">
        <f>IF(Machine!$B68&gt;0,G59*Trips!$M$57*$D59," ")</f>
        <v>0</v>
      </c>
      <c r="I59" s="1398">
        <f>IF(AND($D59&gt;0,Machine!$H68&gt;170,Machine!$H68&lt;200),$E59,0)</f>
        <v>0</v>
      </c>
      <c r="J59" s="1399">
        <f>IF(Machine!$B68&gt;0,I59*Trips!$M$57*$D59," ")</f>
        <v>0</v>
      </c>
      <c r="K59" s="1404">
        <f>IF(AND($D59&gt;0,Machine!$H68&gt;=200,Machine!$H68&lt;250),$E59,0)</f>
        <v>0</v>
      </c>
      <c r="L59" s="1405">
        <f>IF(Machine!$B68&gt;0,K59*Trips!$M$57*$D59," ")</f>
        <v>0</v>
      </c>
      <c r="M59" s="1413">
        <f>IF(AND($D59&gt;0,Machine!$H68&gt;=250),$E59,0)</f>
        <v>0</v>
      </c>
      <c r="N59" s="1412">
        <f>IF(Machine!$B68&gt;0,M59*Trips!$M$57*$D59," ")</f>
        <v>0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 t="str">
        <f>IF(Machine!B69&gt;0,Machine!B69," ")</f>
        <v xml:space="preserve"> </v>
      </c>
      <c r="E60" s="1525"/>
      <c r="F60" s="1354" t="str">
        <f>IF(Machine!$B69&gt;0,E60*Trips!$M$59*$D60," ")</f>
        <v xml:space="preserve"> 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 t="str">
        <f>IF(Machine!B71&gt;0,Machine!B71," ")</f>
        <v xml:space="preserve"> </v>
      </c>
      <c r="E62" s="1525"/>
      <c r="F62" s="1354" t="str">
        <f>IF(Machine!$B71&gt;0,E62*Trips!$M$59*$D62," ")</f>
        <v xml:space="preserve"> 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 t="str">
        <f>IF(Machine!B72&gt;0,Machine!B72," ")</f>
        <v xml:space="preserve"> </v>
      </c>
      <c r="E63" s="1525"/>
      <c r="F63" s="1354" t="str">
        <f>IF(Machine!$B72&gt;0,E63*Trips!$M$59*$D63," ")</f>
        <v xml:space="preserve"> 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 t="str">
        <f>IF(Machine!B73&gt;0,Machine!B73," ")</f>
        <v xml:space="preserve"> </v>
      </c>
      <c r="E64" s="1525"/>
      <c r="F64" s="1354" t="str">
        <f>IF(Machine!$B73&gt;0,E64*Trips!$M$59*$D64," ")</f>
        <v xml:space="preserve"> 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 t="str">
        <f>IF(Machine!B74&gt;0,Machine!B74," ")</f>
        <v xml:space="preserve"> </v>
      </c>
      <c r="E65" s="1525"/>
      <c r="F65" s="1354" t="str">
        <f>IF(Machine!$B74&gt;0,E65*Trips!$M$59*$D65," ")</f>
        <v xml:space="preserve"> </v>
      </c>
      <c r="G65" s="1394">
        <f>IF(AND($D65&gt;0,Machine!$H74&lt;=170),$E65,0)</f>
        <v>0</v>
      </c>
      <c r="H65" s="1393" t="str">
        <f>IF(Machine!$B74&gt;0,G65*Trips!$M$59*$D65," ")</f>
        <v xml:space="preserve"> </v>
      </c>
      <c r="I65" s="1398">
        <f>IF(AND($D65&gt;0,Machine!$H74&gt;170,Machine!$H74&lt;200),$E65,0)</f>
        <v>0</v>
      </c>
      <c r="J65" s="1399" t="str">
        <f>IF(Machine!$B74&gt;0,I65*Trips!$M$59*$D65," ")</f>
        <v xml:space="preserve"> </v>
      </c>
      <c r="K65" s="1404">
        <f>IF(AND($D65&gt;0,Machine!$H74&gt;=200,Machine!$H74&lt;250),$E65,0)</f>
        <v>0</v>
      </c>
      <c r="L65" s="1405" t="str">
        <f>IF(Machine!$B74&gt;0,K65*Trips!$M$59*$D65," ")</f>
        <v xml:space="preserve"> </v>
      </c>
      <c r="M65" s="1413">
        <f>IF(AND($D65&gt;0,Machine!$H74&gt;=250),$E65,0)</f>
        <v>0</v>
      </c>
      <c r="N65" s="1412" t="str">
        <f>IF(Machine!$B74&gt;0,M65*Trips!$M$59*$D65," ")</f>
        <v xml:space="preserve"> 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 t="str">
        <f>IF(Machine!B76&gt;0,Machine!B76," ")</f>
        <v xml:space="preserve"> </v>
      </c>
      <c r="E67" s="1525"/>
      <c r="F67" s="1354" t="str">
        <f>IF(Machine!$B76&gt;0,E67*Trips!$M$66*$D67," ")</f>
        <v xml:space="preserve"> </v>
      </c>
      <c r="G67" s="1394">
        <f>IF(AND($D67&gt;0,Machine!$H76&lt;=170),$E67,0)</f>
        <v>0</v>
      </c>
      <c r="H67" s="1393" t="str">
        <f>IF(Machine!$B76&gt;0,G67*Trips!$M$66*$D67," ")</f>
        <v xml:space="preserve"> </v>
      </c>
      <c r="I67" s="1398">
        <f>IF(AND($D67&gt;0,Machine!$H76&gt;170,Machine!$H76&lt;200),$E67,0)</f>
        <v>0</v>
      </c>
      <c r="J67" s="1399" t="str">
        <f>IF(Machine!$B76&gt;0,I67*Trips!$M$66*$D67," ")</f>
        <v xml:space="preserve"> </v>
      </c>
      <c r="K67" s="1404">
        <f>IF(AND($D67&gt;0,Machine!$H76&gt;=200,Machine!$H76&lt;250),$E67,0)</f>
        <v>0</v>
      </c>
      <c r="L67" s="1405" t="str">
        <f>IF(Machine!$B76&gt;0,K67*Trips!$M$66*$D67," ")</f>
        <v xml:space="preserve"> </v>
      </c>
      <c r="M67" s="1413">
        <f>IF(AND($D67&gt;0,Machine!$H76&gt;=250),$E67,0)</f>
        <v>0</v>
      </c>
      <c r="N67" s="1412" t="str">
        <f>IF(Machine!$B76&gt;0,M67*Trips!$M$66*$D67," ")</f>
        <v xml:space="preserve"> 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 t="str">
        <f>IF(Machine!B77&gt;0,Machine!B77," ")</f>
        <v xml:space="preserve"> </v>
      </c>
      <c r="E68" s="1525"/>
      <c r="F68" s="1354" t="str">
        <f>IF(Machine!$B77&gt;0,E68*Trips!$M$66*$D68," ")</f>
        <v xml:space="preserve"> </v>
      </c>
      <c r="G68" s="1394">
        <f>IF(AND($D68&gt;0,Machine!$H77&lt;=170),$E68,0)</f>
        <v>0</v>
      </c>
      <c r="H68" s="1393" t="str">
        <f>IF(Machine!$B77&gt;0,G68*Trips!$M$66*$D68," ")</f>
        <v xml:space="preserve"> </v>
      </c>
      <c r="I68" s="1398">
        <f>IF(AND($D68&gt;0,Machine!$H77&gt;170,Machine!$H77&lt;200),$E68,0)</f>
        <v>0</v>
      </c>
      <c r="J68" s="1399" t="str">
        <f>IF(Machine!$B77&gt;0,I68*Trips!$M$66*$D68," ")</f>
        <v xml:space="preserve"> </v>
      </c>
      <c r="K68" s="1404">
        <f>IF(AND($D68&gt;0,Machine!$H77&gt;=200,Machine!$H77&lt;250),$E68,0)</f>
        <v>0</v>
      </c>
      <c r="L68" s="1405" t="str">
        <f>IF(Machine!$B77&gt;0,K68*Trips!$M$66*$D68," ")</f>
        <v xml:space="preserve"> </v>
      </c>
      <c r="M68" s="1413">
        <f>IF(AND($D68&gt;0,Machine!$H77&gt;=250),$E68,0)</f>
        <v>0</v>
      </c>
      <c r="N68" s="1412" t="str">
        <f>IF(Machine!$B77&gt;0,M68*Trips!$M$66*$D68," ")</f>
        <v xml:space="preserve"> 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182.3520979437935</v>
      </c>
      <c r="K73" s="3"/>
      <c r="L73" s="1359">
        <f>SUM(L5:L72)</f>
        <v>195.87111160253573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727.9</v>
      </c>
      <c r="C4" s="182">
        <f>SUM(A5_Chem_Look_Up!G24:G33)+SUM(A5_Chem_Look_Up!G38:G39)</f>
        <v>16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130</v>
      </c>
      <c r="C5" s="585">
        <f>IF(A2_Budget_Look_Up!B13&gt;0,SUM(A5_Chem_Look_Up!G44:G50),0)</f>
        <v>0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857.9</v>
      </c>
      <c r="C6" s="182">
        <f>C4+C5</f>
        <v>16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25.371148045188384</v>
      </c>
      <c r="C7" s="1456">
        <f>C6/$E$6</f>
        <v>0.47317679067841723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163.3901934110132</v>
      </c>
      <c r="C9" s="1459">
        <f>C7*C8</f>
        <v>2.5740817412905899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275</v>
      </c>
      <c r="D15" s="1456">
        <f>C15/$B$12</f>
        <v>124.73776719396723</v>
      </c>
      <c r="E15" s="1456">
        <v>1.3</v>
      </c>
      <c r="F15" s="1456">
        <f>D15*E15</f>
        <v>162.1590973521574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100</v>
      </c>
      <c r="D16" s="1456">
        <f>C16/$B$12</f>
        <v>45.359188070533534</v>
      </c>
      <c r="E16" s="1456">
        <v>0.2</v>
      </c>
      <c r="F16" s="1456">
        <f>D16*E16</f>
        <v>9.0718376141067072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100</v>
      </c>
      <c r="D17" s="1456">
        <f>C17/$B$12</f>
        <v>45.359188070533534</v>
      </c>
      <c r="E17" s="1456">
        <v>0.16</v>
      </c>
      <c r="F17" s="1456">
        <f>D17*E17</f>
        <v>7.2574700912853656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178.48840505754947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275</v>
      </c>
      <c r="D22" s="1456">
        <f>C22/$B$12</f>
        <v>124.73776719396723</v>
      </c>
      <c r="E22" s="1456">
        <v>1.27</v>
      </c>
      <c r="F22" s="1459">
        <f>D22*E22</f>
        <v>158.4169643363384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6.9639780421997326</v>
      </c>
      <c r="D28" s="1456">
        <f>C28/$B$25</f>
        <v>26.361729349281646</v>
      </c>
      <c r="E28" s="1456">
        <v>0.84</v>
      </c>
      <c r="F28" s="1456">
        <f>D28*E28</f>
        <v>22.143852653396582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14.173572932330826</v>
      </c>
      <c r="D29" s="1450">
        <f>C29/$B$25</f>
        <v>53.653226832459495</v>
      </c>
      <c r="E29" s="1450">
        <v>0.84</v>
      </c>
      <c r="F29" s="1450">
        <f>D29*E29</f>
        <v>45.068710539265972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67.212563192662557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0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570.08220773885421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1408.7301435434827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391.46416057152578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1017.2659829719569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v>0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1261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M16/16</f>
        <v>4.1904296874999997E-2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1261" t="s">
        <v>1073</v>
      </c>
      <c r="O16" s="1164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7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Roundup Powermax 3</v>
      </c>
      <c r="B6" s="1166" t="str">
        <f>VLOOKUP(1,$I$6:$P$3099,3,FALSE)</f>
        <v/>
      </c>
      <c r="C6" s="1166" t="str">
        <f>VLOOKUP(1,$I$6:$P$3099,4,FALSE)</f>
        <v>pt</v>
      </c>
      <c r="D6" s="1165">
        <f>VLOOKUP(1,$I$6:$P$3099,5,FALSE)</f>
        <v>2.25</v>
      </c>
      <c r="E6" s="1165">
        <f>VLOOKUP(1,$I$6:$P$3099,6,FALSE)</f>
        <v>2</v>
      </c>
      <c r="F6" s="82">
        <f>D6*E6</f>
        <v>4.5</v>
      </c>
      <c r="G6" s="1166">
        <f>VLOOKUP(1,$I$6:$P$3099,8,FALSE)</f>
        <v>32</v>
      </c>
      <c r="H6" s="1073">
        <f>VLOOKUP(1,$I$6:$Q$3099,9,FALSE)</f>
        <v>7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2,4-D</v>
      </c>
      <c r="B7" s="1166" t="str">
        <f>VLOOKUP(2,$I$6:$P$3099,3,FALSE)</f>
        <v/>
      </c>
      <c r="C7" s="1166" t="str">
        <f>VLOOKUP(2,$I$6:$P$3099,4,FALSE)</f>
        <v>pt</v>
      </c>
      <c r="D7" s="1165">
        <f>VLOOKUP(2,$I$6:$P$3099,5,FALSE)</f>
        <v>4.375</v>
      </c>
      <c r="E7" s="1165">
        <f>VLOOKUP(2,$I$6:$P$3099,6,FALSE)</f>
        <v>1.5</v>
      </c>
      <c r="F7" s="82">
        <f>D7*E7</f>
        <v>6.5625</v>
      </c>
      <c r="G7" s="1166">
        <f>VLOOKUP(2,$I$6:$P$3099,8,FALSE)</f>
        <v>1.5</v>
      </c>
      <c r="H7" s="1073">
        <f>VLOOKUP(2,$I$6:$Q$3099,9,FALSE)</f>
        <v>7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Brake</v>
      </c>
      <c r="B8" s="1166" t="str">
        <f>VLOOKUP(3,$I$6:$P$3099,3,FALSE)</f>
        <v/>
      </c>
      <c r="C8" s="1166" t="str">
        <f>VLOOKUP(3,$I$6:$P$3099,4,FALSE)</f>
        <v>pt</v>
      </c>
      <c r="D8" s="1165">
        <f>VLOOKUP(3,$I$6:$P$3099,5,FALSE)</f>
        <v>25.5</v>
      </c>
      <c r="E8" s="1165">
        <f>VLOOKUP(3,$I$6:$P$3099,6,FALSE)</f>
        <v>1</v>
      </c>
      <c r="F8" s="82">
        <f t="shared" ref="F8:F19" si="2">D8*E8</f>
        <v>25.5</v>
      </c>
      <c r="G8" s="1166">
        <f>VLOOKUP(3,$I$6:$P$3099,8,FALSE)</f>
        <v>16</v>
      </c>
      <c r="H8" s="1073">
        <f>VLOOKUP(3,$I$6:$Q$3099,9,FALSE)</f>
        <v>7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Cotoran</v>
      </c>
      <c r="B9" s="1166" t="str">
        <f>VLOOKUP(4,$I$6:$P$3099,3,FALSE)</f>
        <v/>
      </c>
      <c r="C9" s="1166" t="str">
        <f>VLOOKUP(4,$I$6:$P$3099,4,FALSE)</f>
        <v>pt</v>
      </c>
      <c r="D9" s="1165">
        <f>VLOOKUP(4,$I$6:$P$3099,5,FALSE)</f>
        <v>2.5</v>
      </c>
      <c r="E9" s="1165">
        <f>VLOOKUP(4,$I$6:$P$3099,6,FALSE)</f>
        <v>1.6</v>
      </c>
      <c r="F9" s="82">
        <f t="shared" si="2"/>
        <v>4</v>
      </c>
      <c r="G9" s="1166">
        <f>VLOOKUP(4,$I$6:$P$3099,8,FALSE)</f>
        <v>25.6</v>
      </c>
      <c r="H9" s="1073">
        <f>VLOOKUP(4,$I$6:$Q$3099,9,FALSE)</f>
        <v>7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Liberty</v>
      </c>
      <c r="B10" s="1166" t="str">
        <f>VLOOKUP(5,$I$6:$P$3099,3,FALSE)</f>
        <v/>
      </c>
      <c r="C10" s="1166" t="str">
        <f>VLOOKUP(5,$I$6:$P$3099,4,FALSE)</f>
        <v>oz</v>
      </c>
      <c r="D10" s="1165">
        <f>VLOOKUP(5,$I$6:$P$3099,5,FALSE)</f>
        <v>0.28875000000000001</v>
      </c>
      <c r="E10" s="1165">
        <f>VLOOKUP(5,$I$6:$P$3099,6,FALSE)</f>
        <v>32</v>
      </c>
      <c r="F10" s="82">
        <f t="shared" si="2"/>
        <v>9.24</v>
      </c>
      <c r="G10" s="1166">
        <f>VLOOKUP(5,$I$6:$P$3099,8,FALSE)</f>
        <v>512</v>
      </c>
      <c r="H10" s="1073">
        <f>VLOOKUP(5,$I$6:$Q$3099,9,FALSE)</f>
        <v>7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Outlook</v>
      </c>
      <c r="B11" s="1166" t="str">
        <f>VLOOKUP(6,$I$6:$P$3099,3,FALSE)</f>
        <v/>
      </c>
      <c r="C11" s="1166" t="str">
        <f>VLOOKUP(6,$I$6:$P$3099,4,FALSE)</f>
        <v>oz</v>
      </c>
      <c r="D11" s="1165">
        <f>VLOOKUP(6,$I$6:$P$3099,5,FALSE)</f>
        <v>0.84234374999999995</v>
      </c>
      <c r="E11" s="1165">
        <f>VLOOKUP(6,$I$6:$P$3099,6,FALSE)</f>
        <v>12.8</v>
      </c>
      <c r="F11" s="82">
        <f t="shared" si="2"/>
        <v>10.782</v>
      </c>
      <c r="G11" s="1166">
        <f>VLOOKUP(6,$I$6:$P$3099,8,FALSE)</f>
        <v>12.8</v>
      </c>
      <c r="H11" s="1073">
        <f>VLOOKUP(6,$I$6:$Q$3099,9,FALSE)</f>
        <v>7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Liberty</v>
      </c>
      <c r="B12" s="1166" t="str">
        <f>VLOOKUP(7,$I$6:$P$3099,3,FALSE)</f>
        <v/>
      </c>
      <c r="C12" s="1166" t="str">
        <f>VLOOKUP(7,$I$6:$P$3099,4,FALSE)</f>
        <v>oz</v>
      </c>
      <c r="D12" s="1165">
        <f>VLOOKUP(7,$I$6:$P$3099,5,FALSE)</f>
        <v>0.28875000000000001</v>
      </c>
      <c r="E12" s="1165">
        <f>VLOOKUP(7,$I$6:$P$3099,6,FALSE)</f>
        <v>32</v>
      </c>
      <c r="F12" s="82">
        <f t="shared" si="2"/>
        <v>9.24</v>
      </c>
      <c r="G12" s="1166">
        <f>VLOOKUP(7,$I$6:$P$3099,8,FALSE)</f>
        <v>32</v>
      </c>
      <c r="H12" s="1073">
        <f>VLOOKUP(7,$I$6:$Q$3099,9,FALSE)</f>
        <v>7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Metolachlor</v>
      </c>
      <c r="B13" s="1166" t="str">
        <f>VLOOKUP(8,$I$6:$P$3099,3,FALSE)</f>
        <v/>
      </c>
      <c r="C13" s="1166" t="str">
        <f>VLOOKUP(8,$I$6:$P$3099,4,FALSE)</f>
        <v>pt</v>
      </c>
      <c r="D13" s="1165">
        <f>VLOOKUP(8,$I$6:$P$3099,5,FALSE)</f>
        <v>5.0387500000000003</v>
      </c>
      <c r="E13" s="1165">
        <f>VLOOKUP(8,$I$6:$P$3099,6,FALSE)</f>
        <v>1</v>
      </c>
      <c r="F13" s="82">
        <f t="shared" si="2"/>
        <v>5.0387500000000003</v>
      </c>
      <c r="G13" s="1166">
        <f>VLOOKUP(8,$I$6:$P$3099,8,FALSE)</f>
        <v>16</v>
      </c>
      <c r="H13" s="1073">
        <f>VLOOKUP(8,$I$6:$Q$3099,9,FALSE)</f>
        <v>7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Liberty</v>
      </c>
      <c r="B14" s="1166" t="str">
        <f>VLOOKUP(9,$I$6:$P$3099,3,FALSE)</f>
        <v/>
      </c>
      <c r="C14" s="1166" t="str">
        <f>VLOOKUP(9,$I$6:$P$3099,4,FALSE)</f>
        <v>oz</v>
      </c>
      <c r="D14" s="1165">
        <f>VLOOKUP(9,$I$6:$P$3099,5,FALSE)</f>
        <v>0.28875000000000001</v>
      </c>
      <c r="E14" s="1165">
        <f>VLOOKUP(9,$I$6:$P$3099,6,FALSE)</f>
        <v>32</v>
      </c>
      <c r="F14" s="82">
        <f t="shared" si="2"/>
        <v>9.24</v>
      </c>
      <c r="G14" s="1166">
        <f>VLOOKUP(9,$I$6:$P$3099,8,FALSE)</f>
        <v>32</v>
      </c>
      <c r="H14" s="1073">
        <f>VLOOKUP(9,$I$6:$Q$3099,9,FALSE)</f>
        <v>7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Direx</v>
      </c>
      <c r="B15" s="1166" t="str">
        <f>VLOOKUP(10,$I$6:$P$3099,3,FALSE)</f>
        <v/>
      </c>
      <c r="C15" s="1166" t="str">
        <f>VLOOKUP(10,$I$6:$P$3099,4,FALSE)</f>
        <v>pt</v>
      </c>
      <c r="D15" s="1165">
        <f>VLOOKUP(10,$I$6:$P$3099,5,FALSE)</f>
        <v>4.4637500000000001</v>
      </c>
      <c r="E15" s="1165">
        <f>VLOOKUP(10,$I$6:$P$3099,6,FALSE)</f>
        <v>1.5</v>
      </c>
      <c r="F15" s="82">
        <f t="shared" si="2"/>
        <v>6.6956249999999997</v>
      </c>
      <c r="G15" s="1166">
        <f>VLOOKUP(10,$I$6:$P$3099,8,FALSE)</f>
        <v>24</v>
      </c>
      <c r="H15" s="1073">
        <f>VLOOKUP(10,$I$6:$Q$3099,9,FALSE)</f>
        <v>7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MSMA 6</v>
      </c>
      <c r="B16" s="1166" t="str">
        <f>VLOOKUP(11,$I$6:$P$3099,3,FALSE)</f>
        <v/>
      </c>
      <c r="C16" s="1166" t="str">
        <f>VLOOKUP(11,$I$6:$P$3099,4,FALSE)</f>
        <v>qt</v>
      </c>
      <c r="D16" s="1165">
        <f>VLOOKUP(11,$I$6:$P$3099,5,FALSE)</f>
        <v>14.375</v>
      </c>
      <c r="E16" s="1165">
        <f>VLOOKUP(11,$I$6:$P$3099,6,FALSE)</f>
        <v>1.5</v>
      </c>
      <c r="F16" s="82">
        <f t="shared" si="2"/>
        <v>21.5625</v>
      </c>
      <c r="G16" s="1166">
        <f>VLOOKUP(11,$I$6:$P$3099,8,FALSE)</f>
        <v>24</v>
      </c>
      <c r="H16" s="1073">
        <f>VLOOKUP(11,$I$6:$Q$3099,9,FALSE)</f>
        <v>7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 t="str">
        <f>VLOOKUP(12,$I$6:$P$3099,3,FALSE)</f>
        <v/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7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 t="str">
        <f>VLOOKUP(13,$I$6:$P$3099,3,FALSE)</f>
        <v/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7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 t="str">
        <f>VLOOKUP(14,$I$6:$P$3099,3,FALSE)</f>
        <v/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7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112.36137499999998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Centric</v>
      </c>
      <c r="B24" s="1166" t="str">
        <f>VLOOKUP(15,$I$6:$P$3099,3,FALSE)</f>
        <v/>
      </c>
      <c r="C24" s="1166" t="str">
        <f>VLOOKUP(15,$I$6:$P$3099,4,FALSE)</f>
        <v>oz</v>
      </c>
      <c r="D24" s="1165">
        <f>VLOOKUP(15,$I$6:$P$3099,5,FALSE)</f>
        <v>5.95</v>
      </c>
      <c r="E24" s="1165">
        <f>VLOOKUP(15,$I$6:$P$3099,6,FALSE)</f>
        <v>2</v>
      </c>
      <c r="F24" s="82">
        <f t="shared" ref="F24:F33" si="4">D24*E24</f>
        <v>11.9</v>
      </c>
      <c r="G24" s="1166">
        <f>VLOOKUP(15,$I$6:$P$3099,8,FALSE)</f>
        <v>2</v>
      </c>
      <c r="H24" s="1073">
        <f>VLOOKUP(15,$I$6:$Q$3099,9,FALSE)</f>
        <v>7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Diamond</v>
      </c>
      <c r="B25" s="1166" t="str">
        <f>VLOOKUP(16,$I$6:$P$3099,3,FALSE)</f>
        <v/>
      </c>
      <c r="C25" s="1166" t="str">
        <f>VLOOKUP(16,$I$6:$P$3099,4,FALSE)</f>
        <v>oz</v>
      </c>
      <c r="D25" s="1165">
        <f>VLOOKUP(16,$I$6:$P$3099,5,FALSE)</f>
        <v>1.1971354166666666</v>
      </c>
      <c r="E25" s="1165">
        <f>VLOOKUP(16,$I$6:$P$3099,6,FALSE)</f>
        <v>6</v>
      </c>
      <c r="F25" s="82">
        <f t="shared" si="4"/>
        <v>7.1828124999999989</v>
      </c>
      <c r="G25" s="1166">
        <f>VLOOKUP(16,$I$6:$P$3099,8,FALSE)</f>
        <v>6</v>
      </c>
      <c r="H25" s="1073">
        <f>VLOOKUP(16,$I$6:$Q$3099,9,FALSE)</f>
        <v>7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Centric</v>
      </c>
      <c r="B26" s="1166" t="str">
        <f>VLOOKUP(17,$I$6:$P$3099,3,FALSE)</f>
        <v/>
      </c>
      <c r="C26" s="1166" t="str">
        <f>VLOOKUP(17,$I$6:$P$3099,4,FALSE)</f>
        <v>oz</v>
      </c>
      <c r="D26" s="1165">
        <f>VLOOKUP(17,$I$6:$P$3099,5,FALSE)</f>
        <v>5.95</v>
      </c>
      <c r="E26" s="1165">
        <f>VLOOKUP(17,$I$6:$P$3099,6,FALSE)</f>
        <v>2</v>
      </c>
      <c r="F26" s="82">
        <f t="shared" si="4"/>
        <v>11.9</v>
      </c>
      <c r="G26" s="1166">
        <f>VLOOKUP(17,$I$6:$P$3099,8,FALSE)</f>
        <v>2</v>
      </c>
      <c r="H26" s="1073">
        <f>VLOOKUP(17,$I$6:$Q$3099,9,FALSE)</f>
        <v>7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Diamond</v>
      </c>
      <c r="B27" s="1166" t="str">
        <f>VLOOKUP(18,$I$6:$P$3099,3,FALSE)</f>
        <v/>
      </c>
      <c r="C27" s="1166" t="str">
        <f>VLOOKUP(18,$I$6:$P$3099,4,FALSE)</f>
        <v>oz</v>
      </c>
      <c r="D27" s="1165">
        <f>VLOOKUP(18,$I$6:$P$3099,5,FALSE)</f>
        <v>1.1971354166666666</v>
      </c>
      <c r="E27" s="1165">
        <f>VLOOKUP(18,$I$6:$P$3099,6,FALSE)</f>
        <v>6</v>
      </c>
      <c r="F27" s="82">
        <f t="shared" si="4"/>
        <v>7.1828124999999989</v>
      </c>
      <c r="G27" s="1166">
        <f>VLOOKUP(18,$I$6:$P$3099,8,FALSE)</f>
        <v>6</v>
      </c>
      <c r="H27" s="1073">
        <f>VLOOKUP(18,$I$6:$Q$3099,9,FALSE)</f>
        <v>7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Other</v>
      </c>
      <c r="B28" s="1166" t="str">
        <f>VLOOKUP(19,$I$6:$P$3099,3,FALSE)</f>
        <v/>
      </c>
      <c r="C28" s="1166">
        <f>VLOOKUP(19,$I$6:$P$3099,4,FALSE)</f>
        <v>0</v>
      </c>
      <c r="D28" s="1165">
        <f>VLOOKUP(19,$I$6:$P$3099,5,FALSE)</f>
        <v>0</v>
      </c>
      <c r="E28" s="1165">
        <f>VLOOKUP(19,$I$6:$P$3099,6,FALSE)</f>
        <v>0</v>
      </c>
      <c r="F28" s="82">
        <f t="shared" si="4"/>
        <v>0</v>
      </c>
      <c r="G28" s="1166">
        <f>VLOOKUP(19,$I$6:$P$3099,8,FALSE)</f>
        <v>0</v>
      </c>
      <c r="H28" s="1073">
        <f>VLOOKUP(19,$I$6:$Q$3099,9,FALSE)</f>
        <v>7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Other</v>
      </c>
      <c r="B29" s="1166" t="str">
        <f>VLOOKUP(20,$I$6:$P$3099,3,FALSE)</f>
        <v/>
      </c>
      <c r="C29" s="1166">
        <f>VLOOKUP(20,$I$6:$P$3099,4,FALSE)</f>
        <v>0</v>
      </c>
      <c r="D29" s="1165">
        <f>VLOOKUP(20,$I$6:$P$3099,5,FALSE)</f>
        <v>0</v>
      </c>
      <c r="E29" s="1165">
        <f>VLOOKUP(20,$I$6:$P$3099,6,FALSE)</f>
        <v>0</v>
      </c>
      <c r="F29" s="82">
        <f t="shared" si="4"/>
        <v>0</v>
      </c>
      <c r="G29" s="1166">
        <f>VLOOKUP(20,$I$6:$P$3099,8,FALSE)</f>
        <v>0</v>
      </c>
      <c r="H29" s="1073">
        <f>VLOOKUP(20,$I$6:$Q$3099,9,FALSE)</f>
        <v>7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 t="str">
        <f>VLOOKUP(21,$I$6:$P$3099,3,FALSE)</f>
        <v/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7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 t="str">
        <f>VLOOKUP(22,$I$6:$P$3099,3,FALSE)</f>
        <v/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7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 t="str">
        <f>VLOOKUP(23,$I$6:$P$3099,3,FALSE)</f>
        <v/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7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 t="str">
        <f>VLOOKUP(24,$I$6:$P$3099,3,FALSE)</f>
        <v/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7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38.165624999999999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Nematicide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Nematicide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Other</v>
      </c>
      <c r="B38" s="1166" t="str">
        <f>VLOOKUP(25,$I$6:$P$3099,3,FALSE)</f>
        <v/>
      </c>
      <c r="C38" s="1166">
        <f>VLOOKUP(25,$I$6:$P$3099,4,FALSE)</f>
        <v>0</v>
      </c>
      <c r="D38" s="1165">
        <f>VLOOKUP(25,$I$6:$P$3099,5,FALSE)</f>
        <v>0</v>
      </c>
      <c r="E38" s="1165">
        <f>VLOOKUP(25,$I$6:$P$3099,6,FALSE)</f>
        <v>0</v>
      </c>
      <c r="F38" s="82">
        <f>D38*E38</f>
        <v>0</v>
      </c>
      <c r="G38" s="1166">
        <f>VLOOKUP(25,$I$6:$P$3099,8,FALSE)</f>
        <v>0</v>
      </c>
      <c r="H38" s="1073">
        <f>VLOOKUP(25,$I$6:$Q$3099,9,FALSE)</f>
        <v>7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 t="str">
        <f>VLOOKUP(26,$I$6:$P$3099,3,FALSE)</f>
        <v/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7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0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Growth Regulator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Growth Regulator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Mepiquat</v>
      </c>
      <c r="B44" s="1166" t="str">
        <f>VLOOKUP(27,$I$6:$P$3099,3,FALSE)</f>
        <v/>
      </c>
      <c r="C44" s="1166" t="str">
        <f>VLOOKUP(27,$I$6:$P$3099,4,FALSE)</f>
        <v>oz</v>
      </c>
      <c r="D44" s="1165">
        <f>VLOOKUP(27,$I$6:$P$3099,5,FALSE)</f>
        <v>4.9796874999999997E-2</v>
      </c>
      <c r="E44" s="1165">
        <f>VLOOKUP(27,$I$6:$P$3099,6,FALSE)</f>
        <v>16</v>
      </c>
      <c r="F44" s="82">
        <f t="shared" ref="F44:F50" si="8">D44*E44</f>
        <v>0.79674999999999996</v>
      </c>
      <c r="G44" s="1166">
        <f>VLOOKUP(27,$I$6:$P$3099,8,FALSE)</f>
        <v>16</v>
      </c>
      <c r="H44" s="1073">
        <f>VLOOKUP(27,$I$6:$Q$3099,9,FALSE)</f>
        <v>7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Mepiquat</v>
      </c>
      <c r="B45" s="1166" t="str">
        <f>VLOOKUP(28,$I$6:$P$3099,3,FALSE)</f>
        <v/>
      </c>
      <c r="C45" s="1166" t="str">
        <f>VLOOKUP(28,$I$6:$P$3099,4,FALSE)</f>
        <v>oz</v>
      </c>
      <c r="D45" s="1165">
        <f>VLOOKUP(28,$I$6:$P$3099,5,FALSE)</f>
        <v>4.9796874999999997E-2</v>
      </c>
      <c r="E45" s="1165">
        <f>VLOOKUP(28,$I$6:$P$3099,6,FALSE)</f>
        <v>20</v>
      </c>
      <c r="F45" s="82">
        <f t="shared" si="8"/>
        <v>0.99593749999999992</v>
      </c>
      <c r="G45" s="1166">
        <f>VLOOKUP(28,$I$6:$P$3099,8,FALSE)</f>
        <v>20</v>
      </c>
      <c r="H45" s="1073">
        <f>VLOOKUP(28,$I$6:$Q$3099,9,FALSE)</f>
        <v>7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Mepiquat</v>
      </c>
      <c r="B46" s="1166" t="str">
        <f>VLOOKUP(29,$I$6:$P$3099,3,FALSE)</f>
        <v/>
      </c>
      <c r="C46" s="1166" t="str">
        <f>VLOOKUP(29,$I$6:$P$3099,4,FALSE)</f>
        <v>oz</v>
      </c>
      <c r="D46" s="1165">
        <f>VLOOKUP(29,$I$6:$P$3099,5,FALSE)</f>
        <v>4.9796874999999997E-2</v>
      </c>
      <c r="E46" s="1165">
        <f>VLOOKUP(29,$I$6:$P$3099,6,FALSE)</f>
        <v>20</v>
      </c>
      <c r="F46" s="82">
        <f t="shared" si="8"/>
        <v>0.99593749999999992</v>
      </c>
      <c r="G46" s="1166">
        <f>VLOOKUP(29,$I$6:$P$3099,8,FALSE)</f>
        <v>20</v>
      </c>
      <c r="H46" s="1073">
        <f>VLOOKUP(29,$I$6:$Q$3099,9,FALSE)</f>
        <v>7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Mepiquat</v>
      </c>
      <c r="B47" s="1166" t="str">
        <f>VLOOKUP(30,$I$6:$P$3099,3,FALSE)</f>
        <v/>
      </c>
      <c r="C47" s="1166" t="str">
        <f>VLOOKUP(30,$I$6:$P$3099,4,FALSE)</f>
        <v>oz</v>
      </c>
      <c r="D47" s="1165">
        <f>VLOOKUP(30,$I$6:$P$3099,5,FALSE)</f>
        <v>4.9796874999999997E-2</v>
      </c>
      <c r="E47" s="1165">
        <f>VLOOKUP(30,$I$6:$P$3099,6,FALSE)</f>
        <v>20</v>
      </c>
      <c r="F47" s="82">
        <f t="shared" si="8"/>
        <v>0.99593749999999992</v>
      </c>
      <c r="G47" s="1166">
        <f>VLOOKUP(30,$I$6:$P$3099,8,FALSE)</f>
        <v>20</v>
      </c>
      <c r="H47" s="1073">
        <f>VLOOKUP(30,$I$6:$Q$3099,9,FALSE)</f>
        <v>7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 t="str">
        <f>VLOOKUP(31,$I$6:$P$3099,3,FALSE)</f>
        <v/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7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 t="str">
        <f>VLOOKUP(32,$I$6:$P$3099,3,FALSE)</f>
        <v/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7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 t="str">
        <f>VLOOKUP(33,$I$6:$P$3099,3,FALSE)</f>
        <v/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7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3.7845624999999998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Defoliant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Defoliant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Dropp</v>
      </c>
      <c r="B55" s="1166" t="str">
        <f>VLOOKUP(34,$I$6:$P$3099,3,FALSE)</f>
        <v/>
      </c>
      <c r="C55" s="1166" t="str">
        <f>VLOOKUP(34,$I$6:$P$3099,4,FALSE)</f>
        <v>oz</v>
      </c>
      <c r="D55" s="1165">
        <f>VLOOKUP(34,$I$6:$P$3099,5,FALSE)</f>
        <v>0.78125</v>
      </c>
      <c r="E55" s="1165">
        <f>VLOOKUP(34,$I$6:$P$3099,6,FALSE)</f>
        <v>2</v>
      </c>
      <c r="F55" s="82">
        <f t="shared" ref="F55:F61" si="12">D55*E55</f>
        <v>1.5625</v>
      </c>
      <c r="G55" s="1166">
        <f>VLOOKUP(34,$I$6:$P$3099,8,FALSE)</f>
        <v>2</v>
      </c>
      <c r="H55" s="1073">
        <f>VLOOKUP(34,$I$6:$Q$3099,9,FALSE)</f>
        <v>7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Folex</v>
      </c>
      <c r="B56" s="1166" t="str">
        <f>VLOOKUP(35,$I$6:$P$3099,3,FALSE)</f>
        <v/>
      </c>
      <c r="C56" s="1166" t="str">
        <f>VLOOKUP(35,$I$6:$P$3099,4,FALSE)</f>
        <v>oz</v>
      </c>
      <c r="D56" s="1165">
        <f>VLOOKUP(35,$I$6:$P$3099,5,FALSE)</f>
        <v>0.5234375</v>
      </c>
      <c r="E56" s="1165">
        <f>VLOOKUP(35,$I$6:$P$3099,6,FALSE)</f>
        <v>6</v>
      </c>
      <c r="F56" s="82">
        <f t="shared" si="12"/>
        <v>3.140625</v>
      </c>
      <c r="G56" s="1166">
        <f>VLOOKUP(35,$I$6:$P$3099,8,FALSE)</f>
        <v>6</v>
      </c>
      <c r="H56" s="1073">
        <f>VLOOKUP(35,$I$6:$Q$3099,9,FALSE)</f>
        <v>7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Prep</v>
      </c>
      <c r="B57" s="1166" t="str">
        <f>VLOOKUP(36,$I$6:$P$3099,3,FALSE)</f>
        <v/>
      </c>
      <c r="C57" s="1166" t="str">
        <f>VLOOKUP(36,$I$6:$P$3099,4,FALSE)</f>
        <v>oz</v>
      </c>
      <c r="D57" s="1165">
        <f>VLOOKUP(36,$I$6:$P$3099,5,FALSE)</f>
        <v>0.28125</v>
      </c>
      <c r="E57" s="1165">
        <f>VLOOKUP(36,$I$6:$P$3099,6,FALSE)</f>
        <v>6</v>
      </c>
      <c r="F57" s="82">
        <f t="shared" si="12"/>
        <v>1.6875</v>
      </c>
      <c r="G57" s="1166">
        <f>VLOOKUP(36,$I$6:$P$3099,8,FALSE)</f>
        <v>6</v>
      </c>
      <c r="H57" s="1073">
        <f>VLOOKUP(36,$I$6:$Q$3099,9,FALSE)</f>
        <v>7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Folex</v>
      </c>
      <c r="B58" s="1166" t="str">
        <f>VLOOKUP(37,$I$6:$P$3099,3,FALSE)</f>
        <v/>
      </c>
      <c r="C58" s="1166" t="str">
        <f>VLOOKUP(37,$I$6:$P$3099,4,FALSE)</f>
        <v>oz</v>
      </c>
      <c r="D58" s="1165">
        <f>VLOOKUP(37,$I$6:$P$3099,5,FALSE)</f>
        <v>0.5234375</v>
      </c>
      <c r="E58" s="1165">
        <f>VLOOKUP(37,$I$6:$P$3099,6,FALSE)</f>
        <v>8</v>
      </c>
      <c r="F58" s="82">
        <f t="shared" si="12"/>
        <v>4.1875</v>
      </c>
      <c r="G58" s="1166">
        <f>VLOOKUP(37,$I$6:$P$3099,8,FALSE)</f>
        <v>8</v>
      </c>
      <c r="H58" s="1073">
        <f>VLOOKUP(37,$I$6:$Q$3099,9,FALSE)</f>
        <v>7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Prep</v>
      </c>
      <c r="B59" s="1166" t="str">
        <f>VLOOKUP(38,$I$6:$P$3099,3,FALSE)</f>
        <v/>
      </c>
      <c r="C59" s="1166" t="str">
        <f>VLOOKUP(38,$I$6:$P$3099,4,FALSE)</f>
        <v>oz</v>
      </c>
      <c r="D59" s="1165">
        <f>VLOOKUP(38,$I$6:$P$3099,5,FALSE)</f>
        <v>0.28125</v>
      </c>
      <c r="E59" s="1165">
        <f>VLOOKUP(38,$I$6:$P$3099,6,FALSE)</f>
        <v>32</v>
      </c>
      <c r="F59" s="82">
        <f t="shared" si="12"/>
        <v>9</v>
      </c>
      <c r="G59" s="1166">
        <f>VLOOKUP(38,$I$6:$P$3099,8,FALSE)</f>
        <v>32</v>
      </c>
      <c r="H59" s="1073">
        <f>VLOOKUP(38,$I$6:$Q$3099,9,FALSE)</f>
        <v>7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 t="str">
        <f>VLOOKUP(39,$I$6:$P$3099,3,FALSE)</f>
        <v/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7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 t="str">
        <f>VLOOKUP(40,$I$6:$P$3099,3,FALSE)</f>
        <v/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7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19.578125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Nematicide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Growth Regulator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Defoliant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Nematicide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Growth Regulator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Defoliant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Nematicide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Growth Regulator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Defoliant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Nematicide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Growth Regulator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Defoliant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Nematicide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Growth Regulator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Defoliant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1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7</v>
      </c>
    </row>
    <row r="379" spans="9:17" ht="13.9" x14ac:dyDescent="0.4">
      <c r="I379" s="1073">
        <f t="shared" ref="I379:I391" si="80">IF($A$1=7,I378+1,0)</f>
        <v>2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7</v>
      </c>
    </row>
    <row r="380" spans="9:17" ht="13.9" x14ac:dyDescent="0.4">
      <c r="I380" s="1073">
        <f t="shared" si="80"/>
        <v>3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7</v>
      </c>
    </row>
    <row r="381" spans="9:17" ht="13.9" x14ac:dyDescent="0.4">
      <c r="I381" s="1073">
        <f t="shared" si="80"/>
        <v>4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7</v>
      </c>
    </row>
    <row r="382" spans="9:17" ht="13.9" x14ac:dyDescent="0.4">
      <c r="I382" s="1073">
        <f t="shared" si="80"/>
        <v>5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7</v>
      </c>
    </row>
    <row r="383" spans="9:17" ht="13.9" x14ac:dyDescent="0.4">
      <c r="I383" s="1073">
        <f t="shared" si="80"/>
        <v>6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7</v>
      </c>
    </row>
    <row r="384" spans="9:17" ht="13.9" x14ac:dyDescent="0.4">
      <c r="I384" s="1073">
        <f t="shared" si="80"/>
        <v>7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7</v>
      </c>
    </row>
    <row r="385" spans="9:17" ht="13.9" x14ac:dyDescent="0.4">
      <c r="I385" s="1073">
        <f t="shared" si="80"/>
        <v>8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7</v>
      </c>
    </row>
    <row r="386" spans="9:17" ht="13.9" x14ac:dyDescent="0.4">
      <c r="I386" s="1073">
        <f t="shared" si="80"/>
        <v>9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7</v>
      </c>
    </row>
    <row r="387" spans="9:17" ht="13.9" x14ac:dyDescent="0.4">
      <c r="I387" s="1073">
        <f t="shared" si="80"/>
        <v>10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7</v>
      </c>
    </row>
    <row r="388" spans="9:17" ht="13.9" x14ac:dyDescent="0.4">
      <c r="I388" s="1073">
        <f t="shared" si="80"/>
        <v>11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7</v>
      </c>
    </row>
    <row r="389" spans="9:17" ht="13.9" x14ac:dyDescent="0.4">
      <c r="I389" s="1073">
        <f t="shared" si="80"/>
        <v>12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7</v>
      </c>
    </row>
    <row r="390" spans="9:17" ht="13.9" x14ac:dyDescent="0.4">
      <c r="I390" s="1073">
        <f t="shared" si="80"/>
        <v>13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7</v>
      </c>
    </row>
    <row r="391" spans="9:17" ht="13.9" x14ac:dyDescent="0.4">
      <c r="I391" s="1073">
        <f t="shared" si="80"/>
        <v>14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7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15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7</v>
      </c>
    </row>
    <row r="397" spans="9:17" ht="13.9" x14ac:dyDescent="0.4">
      <c r="I397" s="1073">
        <f t="shared" ref="I397:I405" si="84">IF($A$1=7,I396+1,0)</f>
        <v>16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7</v>
      </c>
    </row>
    <row r="398" spans="9:17" ht="13.9" x14ac:dyDescent="0.4">
      <c r="I398" s="1073">
        <f t="shared" si="84"/>
        <v>17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7</v>
      </c>
    </row>
    <row r="399" spans="9:17" ht="13.9" x14ac:dyDescent="0.4">
      <c r="I399" s="1073">
        <f t="shared" si="84"/>
        <v>18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7</v>
      </c>
    </row>
    <row r="400" spans="9:17" ht="13.9" x14ac:dyDescent="0.4">
      <c r="I400" s="1073">
        <f t="shared" si="84"/>
        <v>19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7</v>
      </c>
    </row>
    <row r="401" spans="9:17" ht="13.9" x14ac:dyDescent="0.4">
      <c r="I401" s="1073">
        <f t="shared" si="84"/>
        <v>20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7</v>
      </c>
    </row>
    <row r="402" spans="9:17" ht="13.9" x14ac:dyDescent="0.4">
      <c r="I402" s="1073">
        <f t="shared" si="84"/>
        <v>21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7</v>
      </c>
    </row>
    <row r="403" spans="9:17" ht="13.9" x14ac:dyDescent="0.4">
      <c r="I403" s="1073">
        <f t="shared" si="84"/>
        <v>22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7</v>
      </c>
    </row>
    <row r="404" spans="9:17" ht="13.9" x14ac:dyDescent="0.4">
      <c r="I404" s="1073">
        <f t="shared" si="84"/>
        <v>23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7</v>
      </c>
    </row>
    <row r="405" spans="9:17" ht="13.9" x14ac:dyDescent="0.4">
      <c r="I405" s="1073">
        <f t="shared" si="84"/>
        <v>24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7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Nematicide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25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7</v>
      </c>
    </row>
    <row r="411" spans="9:17" ht="13.9" x14ac:dyDescent="0.4">
      <c r="I411" s="1073">
        <f>IF($A$1=7,I410+1,0)</f>
        <v>26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7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Growth Regulator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27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7</v>
      </c>
    </row>
    <row r="417" spans="9:17" ht="13.9" x14ac:dyDescent="0.4">
      <c r="I417" s="1073">
        <f t="shared" ref="I417:I422" si="87">IF($A$1=7,I416+1,0)</f>
        <v>28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7</v>
      </c>
    </row>
    <row r="418" spans="9:17" ht="13.9" x14ac:dyDescent="0.4">
      <c r="I418" s="1073">
        <f t="shared" si="87"/>
        <v>29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7</v>
      </c>
    </row>
    <row r="419" spans="9:17" ht="13.9" x14ac:dyDescent="0.4">
      <c r="I419" s="1073">
        <f t="shared" si="87"/>
        <v>30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7</v>
      </c>
    </row>
    <row r="420" spans="9:17" ht="13.9" x14ac:dyDescent="0.4">
      <c r="I420" s="1073">
        <f t="shared" si="87"/>
        <v>31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7</v>
      </c>
    </row>
    <row r="421" spans="9:17" ht="13.9" x14ac:dyDescent="0.4">
      <c r="I421" s="1073">
        <f t="shared" si="87"/>
        <v>32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7</v>
      </c>
    </row>
    <row r="422" spans="9:17" ht="13.9" x14ac:dyDescent="0.4">
      <c r="I422" s="1073">
        <f t="shared" si="87"/>
        <v>33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7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Defoliant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34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7</v>
      </c>
    </row>
    <row r="428" spans="9:17" ht="13.9" x14ac:dyDescent="0.4">
      <c r="I428" s="1073">
        <f t="shared" ref="I428:I433" si="90">IF($A$1=7,I427+1,0)</f>
        <v>35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7</v>
      </c>
    </row>
    <row r="429" spans="9:17" ht="13.9" x14ac:dyDescent="0.4">
      <c r="I429" s="1073">
        <f t="shared" si="90"/>
        <v>36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7</v>
      </c>
    </row>
    <row r="430" spans="9:17" ht="13.9" x14ac:dyDescent="0.4">
      <c r="I430" s="1073">
        <f t="shared" si="90"/>
        <v>37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7</v>
      </c>
    </row>
    <row r="431" spans="9:17" ht="13.9" x14ac:dyDescent="0.4">
      <c r="I431" s="1073">
        <f t="shared" si="90"/>
        <v>38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7</v>
      </c>
    </row>
    <row r="432" spans="9:17" ht="13.9" x14ac:dyDescent="0.4">
      <c r="I432" s="1073">
        <f t="shared" si="90"/>
        <v>39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7</v>
      </c>
    </row>
    <row r="433" spans="9:17" ht="13.9" x14ac:dyDescent="0.4">
      <c r="I433" s="1073">
        <f t="shared" si="90"/>
        <v>40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7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Nematicide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Growth Regulator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Defoliant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Nematicide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Growth Regulator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Defoliant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Nematicide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Growth Regulator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Defoliant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Nematicide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Growth Regulator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Defoliant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Nematicide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Growth Regulator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Defoliant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Nematicide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Growth Regulator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Defoliant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Nematicide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Growth Regulator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Defoliant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Nematicide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Growth Regulator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Defoliant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Nematicide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Growth Regulator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Defoliant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Nematicide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Growth Regulator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Defoliant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Nematicide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Growth Regulator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Defoliant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A4_Chem_Prices!N$3</f>
        <v>2,4-D</v>
      </c>
      <c r="K1126" s="1350" t="s">
        <v>839</v>
      </c>
      <c r="L1126" s="160" t="str">
        <f>A4_Chem_Prices!O$3</f>
        <v>oz</v>
      </c>
      <c r="M1126" s="159">
        <f>A4_Chem_Prices!P$3</f>
        <v>0.2734375</v>
      </c>
      <c r="N1126" s="157">
        <v>32</v>
      </c>
      <c r="O1126" s="82">
        <f t="shared" si="227"/>
        <v>8.75</v>
      </c>
      <c r="P1126" s="160">
        <f>N1126*16</f>
        <v>512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A4_Chem_Prices!N$2</f>
        <v>Roundup Powermax 3</v>
      </c>
      <c r="K1127" s="1350" t="s">
        <v>839</v>
      </c>
      <c r="L1127" s="158" t="str">
        <f>A4_Chem_Prices!O$2</f>
        <v>oz</v>
      </c>
      <c r="M1127" s="159">
        <f>A4_Chem_Prices!P$2</f>
        <v>0.140625</v>
      </c>
      <c r="N1127" s="157">
        <v>32</v>
      </c>
      <c r="O1127" s="82">
        <f t="shared" si="227"/>
        <v>4.5</v>
      </c>
      <c r="P1127" s="1449">
        <f>N1127</f>
        <v>32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tr">
        <f>A4_Chem_Prices!N$11</f>
        <v>Zidua</v>
      </c>
      <c r="K1128" s="1350" t="s">
        <v>839</v>
      </c>
      <c r="L1128" s="160" t="str">
        <f>A4_Chem_Prices!O$11</f>
        <v>oz</v>
      </c>
      <c r="M1128" s="159">
        <f>A4_Chem_Prices!P$11</f>
        <v>5.7421875</v>
      </c>
      <c r="N1128" s="157">
        <v>3.5</v>
      </c>
      <c r="O1128" s="82">
        <f t="shared" si="227"/>
        <v>20.09765625</v>
      </c>
      <c r="P1128" s="160">
        <f>N1128*16</f>
        <v>56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72.64015624999999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Nematicide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Growth Regulator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Defoliant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A4_Chem_Prices!N$3</f>
        <v>2,4-D</v>
      </c>
      <c r="K1188" s="1350" t="s">
        <v>839</v>
      </c>
      <c r="L1188" s="160" t="str">
        <f>A4_Chem_Prices!O$3</f>
        <v>oz</v>
      </c>
      <c r="M1188" s="159">
        <f>A4_Chem_Prices!P$3</f>
        <v>0.2734375</v>
      </c>
      <c r="N1188" s="157">
        <v>32</v>
      </c>
      <c r="O1188" s="82">
        <f t="shared" si="239"/>
        <v>8.75</v>
      </c>
      <c r="P1188" s="160">
        <f>N1188*16</f>
        <v>512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A4_Chem_Prices!N$2</f>
        <v>Roundup Powermax 3</v>
      </c>
      <c r="K1189" s="1350" t="s">
        <v>839</v>
      </c>
      <c r="L1189" s="158" t="str">
        <f>A4_Chem_Prices!O$2</f>
        <v>oz</v>
      </c>
      <c r="M1189" s="159">
        <f>A4_Chem_Prices!P$2</f>
        <v>0.140625</v>
      </c>
      <c r="N1189" s="157">
        <v>32</v>
      </c>
      <c r="O1189" s="82">
        <f t="shared" si="239"/>
        <v>4.5</v>
      </c>
      <c r="P1189" s="1449">
        <f>N1189</f>
        <v>32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tr">
        <f>A4_Chem_Prices!N$11</f>
        <v>Zidua</v>
      </c>
      <c r="K1190" s="1350" t="s">
        <v>839</v>
      </c>
      <c r="L1190" s="160" t="str">
        <f>A4_Chem_Prices!O$11</f>
        <v>oz</v>
      </c>
      <c r="M1190" s="159">
        <f>A4_Chem_Prices!P$11</f>
        <v>5.7421875</v>
      </c>
      <c r="N1190" s="157">
        <v>3.5</v>
      </c>
      <c r="O1190" s="82">
        <f t="shared" si="239"/>
        <v>20.09765625</v>
      </c>
      <c r="P1190" s="160">
        <f>N1190*16</f>
        <v>56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72.64015624999999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Nematicide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Growth Regulator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Defoliant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A4_Chem_Prices!N$3</f>
        <v>2,4-D</v>
      </c>
      <c r="K1250" s="1350" t="s">
        <v>839</v>
      </c>
      <c r="L1250" s="160" t="str">
        <f>A4_Chem_Prices!O$3</f>
        <v>oz</v>
      </c>
      <c r="M1250" s="159">
        <f>A4_Chem_Prices!P$3</f>
        <v>0.2734375</v>
      </c>
      <c r="N1250" s="157">
        <v>32</v>
      </c>
      <c r="O1250" s="82">
        <f t="shared" si="251"/>
        <v>8.75</v>
      </c>
      <c r="P1250" s="160">
        <f>N1250*16</f>
        <v>512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A4_Chem_Prices!N$2</f>
        <v>Roundup Powermax 3</v>
      </c>
      <c r="K1251" s="1350" t="s">
        <v>839</v>
      </c>
      <c r="L1251" s="158" t="str">
        <f>A4_Chem_Prices!O$2</f>
        <v>oz</v>
      </c>
      <c r="M1251" s="159">
        <f>A4_Chem_Prices!P$2</f>
        <v>0.140625</v>
      </c>
      <c r="N1251" s="157">
        <v>32</v>
      </c>
      <c r="O1251" s="82">
        <f t="shared" si="251"/>
        <v>4.5</v>
      </c>
      <c r="P1251" s="1449">
        <f>N1251</f>
        <v>32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tr">
        <f>A4_Chem_Prices!N$11</f>
        <v>Zidua</v>
      </c>
      <c r="K1252" s="1350" t="s">
        <v>839</v>
      </c>
      <c r="L1252" s="160" t="str">
        <f>A4_Chem_Prices!O$11</f>
        <v>oz</v>
      </c>
      <c r="M1252" s="159">
        <f>A4_Chem_Prices!P$11</f>
        <v>5.7421875</v>
      </c>
      <c r="N1252" s="157">
        <v>3.5</v>
      </c>
      <c r="O1252" s="82">
        <f t="shared" si="251"/>
        <v>20.09765625</v>
      </c>
      <c r="P1252" s="160">
        <f>N1252*16</f>
        <v>56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72.64015624999999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Nematicide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Growth Regulator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Defoliant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 t="shared" ref="P1308:P1314" si="264"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5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 t="shared" si="264"/>
        <v>32</v>
      </c>
      <c r="Q1309" s="1071">
        <f>Q1308</f>
        <v>0</v>
      </c>
    </row>
    <row r="1310" spans="9:17" ht="13.9" x14ac:dyDescent="0.4">
      <c r="I1310" s="1073">
        <f t="shared" si="265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 t="shared" si="264"/>
        <v>32</v>
      </c>
      <c r="Q1310" s="1071">
        <f t="shared" ref="Q1310:Q1321" si="266">Q1309</f>
        <v>0</v>
      </c>
    </row>
    <row r="1311" spans="9:17" ht="13.9" x14ac:dyDescent="0.4">
      <c r="I1311" s="1073">
        <f t="shared" si="265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 t="shared" si="264"/>
        <v>32</v>
      </c>
      <c r="Q1311" s="1071">
        <f t="shared" si="266"/>
        <v>0</v>
      </c>
    </row>
    <row r="1312" spans="9:17" ht="13.9" x14ac:dyDescent="0.4">
      <c r="I1312" s="1073">
        <f t="shared" si="265"/>
        <v>0</v>
      </c>
      <c r="J1312" s="159" t="str">
        <f>A4_Chem_Prices!N$3</f>
        <v>2,4-D</v>
      </c>
      <c r="K1312" s="1350" t="s">
        <v>839</v>
      </c>
      <c r="L1312" s="160" t="str">
        <f>A4_Chem_Prices!O$3</f>
        <v>oz</v>
      </c>
      <c r="M1312" s="159">
        <f>A4_Chem_Prices!P$3</f>
        <v>0.2734375</v>
      </c>
      <c r="N1312" s="157">
        <v>32</v>
      </c>
      <c r="O1312" s="82">
        <f t="shared" si="263"/>
        <v>8.75</v>
      </c>
      <c r="P1312" s="160">
        <f t="shared" si="264"/>
        <v>32</v>
      </c>
      <c r="Q1312" s="1071">
        <f t="shared" si="266"/>
        <v>0</v>
      </c>
    </row>
    <row r="1313" spans="9:17" ht="13.9" x14ac:dyDescent="0.4">
      <c r="I1313" s="1073">
        <f t="shared" si="265"/>
        <v>0</v>
      </c>
      <c r="J1313" s="159" t="str">
        <f>A4_Chem_Prices!N$2</f>
        <v>Roundup Powermax 3</v>
      </c>
      <c r="K1313" s="1350" t="s">
        <v>839</v>
      </c>
      <c r="L1313" s="158" t="str">
        <f>A4_Chem_Prices!O$2</f>
        <v>oz</v>
      </c>
      <c r="M1313" s="159">
        <f>A4_Chem_Prices!P$2</f>
        <v>0.140625</v>
      </c>
      <c r="N1313" s="157">
        <v>32</v>
      </c>
      <c r="O1313" s="82">
        <f t="shared" si="263"/>
        <v>4.5</v>
      </c>
      <c r="P1313" s="1449">
        <f t="shared" si="264"/>
        <v>32</v>
      </c>
      <c r="Q1313" s="1071">
        <f t="shared" si="266"/>
        <v>0</v>
      </c>
    </row>
    <row r="1314" spans="9:17" ht="13.9" x14ac:dyDescent="0.4">
      <c r="I1314" s="1073">
        <f t="shared" si="265"/>
        <v>0</v>
      </c>
      <c r="J1314" s="159" t="str">
        <f>A4_Chem_Prices!N$11</f>
        <v>Zidua</v>
      </c>
      <c r="K1314" s="1350" t="s">
        <v>839</v>
      </c>
      <c r="L1314" s="160" t="str">
        <f>A4_Chem_Prices!O$11</f>
        <v>oz</v>
      </c>
      <c r="M1314" s="159">
        <f>A4_Chem_Prices!P$11</f>
        <v>5.7421875</v>
      </c>
      <c r="N1314" s="157">
        <v>3.5</v>
      </c>
      <c r="O1314" s="82">
        <f t="shared" si="263"/>
        <v>20.09765625</v>
      </c>
      <c r="P1314" s="160">
        <f t="shared" si="264"/>
        <v>3.5</v>
      </c>
      <c r="Q1314" s="1071">
        <f t="shared" si="266"/>
        <v>0</v>
      </c>
    </row>
    <row r="1315" spans="9:17" ht="13.9" x14ac:dyDescent="0.4">
      <c r="I1315" s="1073">
        <f t="shared" si="265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6"/>
        <v>0</v>
      </c>
    </row>
    <row r="1316" spans="9:17" ht="13.9" x14ac:dyDescent="0.4">
      <c r="I1316" s="1073">
        <f t="shared" si="265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6"/>
        <v>0</v>
      </c>
    </row>
    <row r="1317" spans="9:17" ht="13.9" x14ac:dyDescent="0.4">
      <c r="I1317" s="1073">
        <f t="shared" si="265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6"/>
        <v>0</v>
      </c>
    </row>
    <row r="1318" spans="9:17" ht="13.9" x14ac:dyDescent="0.4">
      <c r="I1318" s="1073">
        <f t="shared" si="265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6"/>
        <v>0</v>
      </c>
    </row>
    <row r="1319" spans="9:17" ht="13.9" x14ac:dyDescent="0.4">
      <c r="I1319" s="1073">
        <f t="shared" si="265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6"/>
        <v>0</v>
      </c>
    </row>
    <row r="1320" spans="9:17" ht="13.9" x14ac:dyDescent="0.4">
      <c r="I1320" s="1073">
        <f t="shared" si="265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6"/>
        <v>0</v>
      </c>
    </row>
    <row r="1321" spans="9:17" ht="13.9" x14ac:dyDescent="0.4">
      <c r="I1321" s="1073">
        <f t="shared" si="265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6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72.64015624999999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7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8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7"/>
        <v>0</v>
      </c>
      <c r="P1327" s="158"/>
      <c r="Q1327" s="1071">
        <f>Q1326</f>
        <v>0</v>
      </c>
    </row>
    <row r="1328" spans="9:17" ht="13.9" x14ac:dyDescent="0.4">
      <c r="I1328" s="1073">
        <f t="shared" si="268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7"/>
        <v>0</v>
      </c>
      <c r="P1328" s="158"/>
      <c r="Q1328" s="1071">
        <f t="shared" ref="Q1328:Q1335" si="269">Q1327</f>
        <v>0</v>
      </c>
    </row>
    <row r="1329" spans="9:17" ht="13.9" x14ac:dyDescent="0.4">
      <c r="I1329" s="1073">
        <f t="shared" si="268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7"/>
        <v>0</v>
      </c>
      <c r="P1329" s="158"/>
      <c r="Q1329" s="1071">
        <f t="shared" si="269"/>
        <v>0</v>
      </c>
    </row>
    <row r="1330" spans="9:17" ht="13.9" x14ac:dyDescent="0.4">
      <c r="I1330" s="1073">
        <f t="shared" si="268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7"/>
        <v>0</v>
      </c>
      <c r="P1330" s="158"/>
      <c r="Q1330" s="1071">
        <f t="shared" si="269"/>
        <v>0</v>
      </c>
    </row>
    <row r="1331" spans="9:17" ht="13.9" x14ac:dyDescent="0.4">
      <c r="I1331" s="1073">
        <f t="shared" si="268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7"/>
        <v>0</v>
      </c>
      <c r="P1331" s="158"/>
      <c r="Q1331" s="1071">
        <f t="shared" si="269"/>
        <v>0</v>
      </c>
    </row>
    <row r="1332" spans="9:17" ht="13.9" x14ac:dyDescent="0.4">
      <c r="I1332" s="1073">
        <f t="shared" si="268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7"/>
        <v>0</v>
      </c>
      <c r="P1332" s="158"/>
      <c r="Q1332" s="1071">
        <f t="shared" si="269"/>
        <v>0</v>
      </c>
    </row>
    <row r="1333" spans="9:17" ht="13.9" x14ac:dyDescent="0.4">
      <c r="I1333" s="1073">
        <f t="shared" si="268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7"/>
        <v>0</v>
      </c>
      <c r="P1333" s="158"/>
      <c r="Q1333" s="1071">
        <f t="shared" si="269"/>
        <v>0</v>
      </c>
    </row>
    <row r="1334" spans="9:17" ht="13.9" x14ac:dyDescent="0.4">
      <c r="I1334" s="1073">
        <f t="shared" si="268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7"/>
        <v>0</v>
      </c>
      <c r="P1334" s="158"/>
      <c r="Q1334" s="1071">
        <f t="shared" si="269"/>
        <v>0</v>
      </c>
    </row>
    <row r="1335" spans="9:17" ht="13.9" x14ac:dyDescent="0.4">
      <c r="I1335" s="1073">
        <f t="shared" si="268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7"/>
        <v>0</v>
      </c>
      <c r="P1335" s="158"/>
      <c r="Q1335" s="1071">
        <f t="shared" si="269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Nematicide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Growth Regulator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70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1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70"/>
        <v>0</v>
      </c>
      <c r="P1347" s="158"/>
      <c r="Q1347" s="1071">
        <f t="shared" ref="Q1347:Q1352" si="272">Q1346</f>
        <v>0</v>
      </c>
    </row>
    <row r="1348" spans="9:17" ht="13.9" x14ac:dyDescent="0.4">
      <c r="I1348" s="1073">
        <f t="shared" si="271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70"/>
        <v>0</v>
      </c>
      <c r="P1348" s="158"/>
      <c r="Q1348" s="1071">
        <f t="shared" si="272"/>
        <v>0</v>
      </c>
    </row>
    <row r="1349" spans="9:17" ht="13.9" x14ac:dyDescent="0.4">
      <c r="I1349" s="1073">
        <f t="shared" si="271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70"/>
        <v>0</v>
      </c>
      <c r="P1349" s="158"/>
      <c r="Q1349" s="1071">
        <f t="shared" si="272"/>
        <v>0</v>
      </c>
    </row>
    <row r="1350" spans="9:17" ht="13.9" x14ac:dyDescent="0.4">
      <c r="I1350" s="1073">
        <f t="shared" si="271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70"/>
        <v>0</v>
      </c>
      <c r="P1350" s="158"/>
      <c r="Q1350" s="1071">
        <f t="shared" si="272"/>
        <v>0</v>
      </c>
    </row>
    <row r="1351" spans="9:17" ht="13.9" x14ac:dyDescent="0.4">
      <c r="I1351" s="1073">
        <f t="shared" si="271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70"/>
        <v>0</v>
      </c>
      <c r="P1351" s="158"/>
      <c r="Q1351" s="1071">
        <f t="shared" si="272"/>
        <v>0</v>
      </c>
    </row>
    <row r="1352" spans="9:17" ht="13.9" x14ac:dyDescent="0.4">
      <c r="I1352" s="1073">
        <f t="shared" si="271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70"/>
        <v>0</v>
      </c>
      <c r="P1352" s="158"/>
      <c r="Q1352" s="1071">
        <f t="shared" si="272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Defoliant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3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4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3"/>
        <v>0</v>
      </c>
      <c r="P1358" s="158"/>
      <c r="Q1358" s="1071">
        <f t="shared" ref="Q1358:Q1363" si="275">Q1357</f>
        <v>0</v>
      </c>
    </row>
    <row r="1359" spans="9:17" ht="13.9" x14ac:dyDescent="0.4">
      <c r="I1359" s="1073">
        <f t="shared" si="274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3"/>
        <v>0</v>
      </c>
      <c r="P1359" s="158"/>
      <c r="Q1359" s="1071">
        <f t="shared" si="275"/>
        <v>0</v>
      </c>
    </row>
    <row r="1360" spans="9:17" ht="13.9" x14ac:dyDescent="0.4">
      <c r="I1360" s="1073">
        <f t="shared" si="274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3"/>
        <v>0</v>
      </c>
      <c r="P1360" s="158"/>
      <c r="Q1360" s="1071">
        <f t="shared" si="275"/>
        <v>0</v>
      </c>
    </row>
    <row r="1361" spans="9:17" ht="13.9" x14ac:dyDescent="0.4">
      <c r="I1361" s="1073">
        <f t="shared" si="274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3"/>
        <v>0</v>
      </c>
      <c r="P1361" s="158"/>
      <c r="Q1361" s="1071">
        <f t="shared" si="275"/>
        <v>0</v>
      </c>
    </row>
    <row r="1362" spans="9:17" ht="13.9" x14ac:dyDescent="0.4">
      <c r="I1362" s="1073">
        <f t="shared" si="274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3"/>
        <v>0</v>
      </c>
      <c r="P1362" s="158"/>
      <c r="Q1362" s="1071">
        <f t="shared" si="275"/>
        <v>0</v>
      </c>
    </row>
    <row r="1363" spans="9:17" ht="13.9" x14ac:dyDescent="0.4">
      <c r="I1363" s="1073">
        <f t="shared" si="274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3"/>
        <v>0</v>
      </c>
      <c r="P1363" s="158"/>
      <c r="Q1363" s="1071">
        <f t="shared" si="275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6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7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6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7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6"/>
        <v>21.892499999999998</v>
      </c>
      <c r="P1372" s="1449">
        <f>N1372</f>
        <v>32</v>
      </c>
      <c r="Q1372" s="1071">
        <f t="shared" ref="Q1372:Q1383" si="278">Q1371</f>
        <v>0</v>
      </c>
    </row>
    <row r="1373" spans="9:17" ht="13.9" x14ac:dyDescent="0.4">
      <c r="I1373" s="1073">
        <f t="shared" si="277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8"/>
        <v>0</v>
      </c>
    </row>
    <row r="1374" spans="9:17" ht="13.9" x14ac:dyDescent="0.4">
      <c r="I1374" s="1073">
        <f t="shared" si="277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N1374*16</f>
        <v>512</v>
      </c>
      <c r="Q1374" s="1071">
        <f t="shared" si="278"/>
        <v>0</v>
      </c>
    </row>
    <row r="1375" spans="9:17" ht="13.9" x14ac:dyDescent="0.4">
      <c r="I1375" s="1073">
        <f t="shared" si="277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8"/>
        <v>0</v>
      </c>
    </row>
    <row r="1376" spans="9:17" ht="13.9" x14ac:dyDescent="0.4">
      <c r="I1376" s="1073">
        <f t="shared" si="277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6"/>
        <v>0</v>
      </c>
      <c r="P1376" s="160"/>
      <c r="Q1376" s="1071">
        <f t="shared" si="278"/>
        <v>0</v>
      </c>
    </row>
    <row r="1377" spans="9:17" ht="13.9" x14ac:dyDescent="0.4">
      <c r="I1377" s="1073">
        <f t="shared" si="277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6"/>
        <v>0</v>
      </c>
      <c r="P1377" s="160"/>
      <c r="Q1377" s="1071">
        <f t="shared" si="278"/>
        <v>0</v>
      </c>
    </row>
    <row r="1378" spans="9:17" ht="13.9" x14ac:dyDescent="0.4">
      <c r="I1378" s="1073">
        <f t="shared" si="277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6"/>
        <v>0</v>
      </c>
      <c r="P1378" s="160"/>
      <c r="Q1378" s="1071">
        <f t="shared" si="278"/>
        <v>0</v>
      </c>
    </row>
    <row r="1379" spans="9:17" ht="13.9" x14ac:dyDescent="0.4">
      <c r="I1379" s="1073">
        <f t="shared" si="277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6"/>
        <v>0</v>
      </c>
      <c r="P1379" s="160"/>
      <c r="Q1379" s="1071">
        <f t="shared" si="278"/>
        <v>0</v>
      </c>
    </row>
    <row r="1380" spans="9:17" ht="13.9" x14ac:dyDescent="0.4">
      <c r="I1380" s="1073">
        <f t="shared" si="277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6"/>
        <v>0</v>
      </c>
      <c r="P1380" s="160"/>
      <c r="Q1380" s="1071">
        <f t="shared" si="278"/>
        <v>0</v>
      </c>
    </row>
    <row r="1381" spans="9:17" ht="13.9" x14ac:dyDescent="0.4">
      <c r="I1381" s="1073">
        <f t="shared" si="277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6"/>
        <v>0</v>
      </c>
      <c r="P1381" s="160"/>
      <c r="Q1381" s="1071">
        <f t="shared" si="278"/>
        <v>0</v>
      </c>
    </row>
    <row r="1382" spans="9:17" ht="13.9" x14ac:dyDescent="0.4">
      <c r="I1382" s="1073">
        <f t="shared" si="277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6"/>
        <v>0</v>
      </c>
      <c r="P1382" s="160"/>
      <c r="Q1382" s="1071">
        <f t="shared" si="278"/>
        <v>0</v>
      </c>
    </row>
    <row r="1383" spans="9:17" ht="13.9" x14ac:dyDescent="0.4">
      <c r="I1383" s="1073">
        <f t="shared" si="277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6"/>
        <v>0</v>
      </c>
      <c r="P1383" s="160"/>
      <c r="Q1383" s="1071">
        <f t="shared" si="278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9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80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9"/>
        <v>0</v>
      </c>
      <c r="P1389" s="158"/>
      <c r="Q1389" s="1071">
        <f>Q1388</f>
        <v>0</v>
      </c>
    </row>
    <row r="1390" spans="9:17" ht="13.9" x14ac:dyDescent="0.4">
      <c r="I1390" s="1073">
        <f t="shared" si="280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9"/>
        <v>0</v>
      </c>
      <c r="P1390" s="158"/>
      <c r="Q1390" s="1071">
        <f t="shared" ref="Q1390:Q1397" si="281">Q1389</f>
        <v>0</v>
      </c>
    </row>
    <row r="1391" spans="9:17" ht="13.9" x14ac:dyDescent="0.4">
      <c r="I1391" s="1073">
        <f t="shared" si="280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9"/>
        <v>0</v>
      </c>
      <c r="P1391" s="158"/>
      <c r="Q1391" s="1071">
        <f t="shared" si="281"/>
        <v>0</v>
      </c>
    </row>
    <row r="1392" spans="9:17" ht="13.9" x14ac:dyDescent="0.4">
      <c r="I1392" s="1073">
        <f t="shared" si="280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9"/>
        <v>0</v>
      </c>
      <c r="P1392" s="158"/>
      <c r="Q1392" s="1071">
        <f t="shared" si="281"/>
        <v>0</v>
      </c>
    </row>
    <row r="1393" spans="9:17" ht="13.9" x14ac:dyDescent="0.4">
      <c r="I1393" s="1073">
        <f t="shared" si="280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9"/>
        <v>0</v>
      </c>
      <c r="P1393" s="158"/>
      <c r="Q1393" s="1071">
        <f t="shared" si="281"/>
        <v>0</v>
      </c>
    </row>
    <row r="1394" spans="9:17" ht="13.9" x14ac:dyDescent="0.4">
      <c r="I1394" s="1073">
        <f t="shared" si="280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9"/>
        <v>0</v>
      </c>
      <c r="P1394" s="158"/>
      <c r="Q1394" s="1071">
        <f t="shared" si="281"/>
        <v>0</v>
      </c>
    </row>
    <row r="1395" spans="9:17" ht="13.9" x14ac:dyDescent="0.4">
      <c r="I1395" s="1073">
        <f t="shared" si="280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9"/>
        <v>0</v>
      </c>
      <c r="P1395" s="158"/>
      <c r="Q1395" s="1071">
        <f t="shared" si="281"/>
        <v>0</v>
      </c>
    </row>
    <row r="1396" spans="9:17" ht="13.9" x14ac:dyDescent="0.4">
      <c r="I1396" s="1073">
        <f t="shared" si="280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9"/>
        <v>0</v>
      </c>
      <c r="P1396" s="158"/>
      <c r="Q1396" s="1071">
        <f t="shared" si="281"/>
        <v>0</v>
      </c>
    </row>
    <row r="1397" spans="9:17" ht="13.9" x14ac:dyDescent="0.4">
      <c r="I1397" s="1073">
        <f t="shared" si="280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9"/>
        <v>0</v>
      </c>
      <c r="P1397" s="158"/>
      <c r="Q1397" s="1071">
        <f t="shared" si="281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Nematicide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Growth Regulator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2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3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2"/>
        <v>0</v>
      </c>
      <c r="P1409" s="160"/>
      <c r="Q1409" s="1071">
        <f t="shared" ref="Q1409:Q1414" si="284">Q1408</f>
        <v>0</v>
      </c>
    </row>
    <row r="1410" spans="9:17" ht="13.9" x14ac:dyDescent="0.4">
      <c r="I1410" s="1073">
        <f t="shared" si="283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2"/>
        <v>0</v>
      </c>
      <c r="P1410" s="160"/>
      <c r="Q1410" s="1071">
        <f t="shared" si="284"/>
        <v>0</v>
      </c>
    </row>
    <row r="1411" spans="9:17" ht="13.9" x14ac:dyDescent="0.4">
      <c r="I1411" s="1073">
        <f t="shared" si="283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2"/>
        <v>0</v>
      </c>
      <c r="P1411" s="158"/>
      <c r="Q1411" s="1071">
        <f t="shared" si="284"/>
        <v>0</v>
      </c>
    </row>
    <row r="1412" spans="9:17" ht="13.9" x14ac:dyDescent="0.4">
      <c r="I1412" s="1073">
        <f t="shared" si="283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2"/>
        <v>0</v>
      </c>
      <c r="P1412" s="158"/>
      <c r="Q1412" s="1071">
        <f t="shared" si="284"/>
        <v>0</v>
      </c>
    </row>
    <row r="1413" spans="9:17" ht="13.9" x14ac:dyDescent="0.4">
      <c r="I1413" s="1073">
        <f t="shared" si="283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2"/>
        <v>0</v>
      </c>
      <c r="P1413" s="158"/>
      <c r="Q1413" s="1071">
        <f t="shared" si="284"/>
        <v>0</v>
      </c>
    </row>
    <row r="1414" spans="9:17" ht="13.9" x14ac:dyDescent="0.4">
      <c r="I1414" s="1073">
        <f t="shared" si="283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2"/>
        <v>0</v>
      </c>
      <c r="P1414" s="158"/>
      <c r="Q1414" s="1071">
        <f t="shared" si="284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Defoliant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5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6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5"/>
        <v>0</v>
      </c>
      <c r="P1420" s="160"/>
      <c r="Q1420" s="1071">
        <f t="shared" ref="Q1420:Q1425" si="287">Q1419</f>
        <v>0</v>
      </c>
    </row>
    <row r="1421" spans="9:17" ht="13.9" x14ac:dyDescent="0.4">
      <c r="I1421" s="1073">
        <f t="shared" si="286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5"/>
        <v>0</v>
      </c>
      <c r="P1421" s="160"/>
      <c r="Q1421" s="1071">
        <f t="shared" si="287"/>
        <v>0</v>
      </c>
    </row>
    <row r="1422" spans="9:17" ht="13.9" x14ac:dyDescent="0.4">
      <c r="I1422" s="1073">
        <f t="shared" si="286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5"/>
        <v>0</v>
      </c>
      <c r="P1422" s="160"/>
      <c r="Q1422" s="1071">
        <f t="shared" si="287"/>
        <v>0</v>
      </c>
    </row>
    <row r="1423" spans="9:17" ht="13.9" x14ac:dyDescent="0.4">
      <c r="I1423" s="1073">
        <f t="shared" si="286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5"/>
        <v>0</v>
      </c>
      <c r="P1423" s="160"/>
      <c r="Q1423" s="1071">
        <f t="shared" si="287"/>
        <v>0</v>
      </c>
    </row>
    <row r="1424" spans="9:17" ht="13.9" x14ac:dyDescent="0.4">
      <c r="I1424" s="1073">
        <f t="shared" si="286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5"/>
        <v>0</v>
      </c>
      <c r="P1424" s="158"/>
      <c r="Q1424" s="1071">
        <f t="shared" si="287"/>
        <v>0</v>
      </c>
    </row>
    <row r="1425" spans="9:17" ht="13.9" x14ac:dyDescent="0.4">
      <c r="I1425" s="1073">
        <f t="shared" si="286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5"/>
        <v>0</v>
      </c>
      <c r="P1425" s="158"/>
      <c r="Q1425" s="1071">
        <f t="shared" si="287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8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9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8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9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8"/>
        <v>21.892499999999998</v>
      </c>
      <c r="P1434" s="1449">
        <f>N1434</f>
        <v>32</v>
      </c>
      <c r="Q1434" s="1071">
        <f t="shared" ref="Q1434:Q1445" si="290">Q1433</f>
        <v>0</v>
      </c>
    </row>
    <row r="1435" spans="9:17" ht="13.9" x14ac:dyDescent="0.4">
      <c r="I1435" s="1073">
        <f t="shared" si="289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8"/>
        <v>4.5</v>
      </c>
      <c r="P1435" s="1449">
        <f>N1435</f>
        <v>32</v>
      </c>
      <c r="Q1435" s="1071">
        <f t="shared" si="290"/>
        <v>0</v>
      </c>
    </row>
    <row r="1436" spans="9:17" ht="13.9" x14ac:dyDescent="0.4">
      <c r="I1436" s="1073">
        <f t="shared" si="289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8"/>
        <v>15.32</v>
      </c>
      <c r="P1436" s="160">
        <f>N1436*16</f>
        <v>512</v>
      </c>
      <c r="Q1436" s="1071">
        <f t="shared" si="290"/>
        <v>0</v>
      </c>
    </row>
    <row r="1437" spans="9:17" ht="13.9" x14ac:dyDescent="0.4">
      <c r="I1437" s="1073">
        <f t="shared" si="289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8"/>
        <v>20.09765625</v>
      </c>
      <c r="P1437" s="1449">
        <f>N1437</f>
        <v>3.5</v>
      </c>
      <c r="Q1437" s="1071">
        <f t="shared" si="290"/>
        <v>0</v>
      </c>
    </row>
    <row r="1438" spans="9:17" ht="13.9" x14ac:dyDescent="0.4">
      <c r="I1438" s="1073">
        <f t="shared" si="289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8"/>
        <v>0</v>
      </c>
      <c r="P1438" s="160"/>
      <c r="Q1438" s="1071">
        <f t="shared" si="290"/>
        <v>0</v>
      </c>
    </row>
    <row r="1439" spans="9:17" ht="13.9" x14ac:dyDescent="0.4">
      <c r="I1439" s="1073">
        <f t="shared" si="289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8"/>
        <v>0</v>
      </c>
      <c r="P1439" s="160"/>
      <c r="Q1439" s="1071">
        <f t="shared" si="290"/>
        <v>0</v>
      </c>
    </row>
    <row r="1440" spans="9:17" ht="13.9" x14ac:dyDescent="0.4">
      <c r="I1440" s="1073">
        <f t="shared" si="289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8"/>
        <v>0</v>
      </c>
      <c r="P1440" s="160"/>
      <c r="Q1440" s="1071">
        <f t="shared" si="290"/>
        <v>0</v>
      </c>
    </row>
    <row r="1441" spans="9:17" ht="13.9" x14ac:dyDescent="0.4">
      <c r="I1441" s="1073">
        <f t="shared" si="289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8"/>
        <v>0</v>
      </c>
      <c r="P1441" s="160"/>
      <c r="Q1441" s="1071">
        <f t="shared" si="290"/>
        <v>0</v>
      </c>
    </row>
    <row r="1442" spans="9:17" ht="13.9" x14ac:dyDescent="0.4">
      <c r="I1442" s="1073">
        <f t="shared" si="289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8"/>
        <v>0</v>
      </c>
      <c r="P1442" s="160"/>
      <c r="Q1442" s="1071">
        <f t="shared" si="290"/>
        <v>0</v>
      </c>
    </row>
    <row r="1443" spans="9:17" ht="13.9" x14ac:dyDescent="0.4">
      <c r="I1443" s="1073">
        <f t="shared" si="289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8"/>
        <v>0</v>
      </c>
      <c r="P1443" s="160"/>
      <c r="Q1443" s="1071">
        <f t="shared" si="290"/>
        <v>0</v>
      </c>
    </row>
    <row r="1444" spans="9:17" ht="13.9" x14ac:dyDescent="0.4">
      <c r="I1444" s="1073">
        <f t="shared" si="289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8"/>
        <v>0</v>
      </c>
      <c r="P1444" s="160"/>
      <c r="Q1444" s="1071">
        <f t="shared" si="290"/>
        <v>0</v>
      </c>
    </row>
    <row r="1445" spans="9:17" ht="13.9" x14ac:dyDescent="0.4">
      <c r="I1445" s="1073">
        <f t="shared" si="289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8"/>
        <v>0</v>
      </c>
      <c r="P1445" s="160"/>
      <c r="Q1445" s="1071">
        <f t="shared" si="290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1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2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1"/>
        <v>0</v>
      </c>
      <c r="P1451" s="158"/>
      <c r="Q1451" s="1071">
        <f>Q1450</f>
        <v>0</v>
      </c>
    </row>
    <row r="1452" spans="9:17" ht="13.9" x14ac:dyDescent="0.4">
      <c r="I1452" s="1073">
        <f t="shared" si="292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1"/>
        <v>0</v>
      </c>
      <c r="P1452" s="158"/>
      <c r="Q1452" s="1071">
        <f t="shared" ref="Q1452:Q1459" si="293">Q1451</f>
        <v>0</v>
      </c>
    </row>
    <row r="1453" spans="9:17" ht="13.9" x14ac:dyDescent="0.4">
      <c r="I1453" s="1073">
        <f t="shared" si="292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1"/>
        <v>0</v>
      </c>
      <c r="P1453" s="158"/>
      <c r="Q1453" s="1071">
        <f t="shared" si="293"/>
        <v>0</v>
      </c>
    </row>
    <row r="1454" spans="9:17" ht="13.9" x14ac:dyDescent="0.4">
      <c r="I1454" s="1073">
        <f t="shared" si="292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1"/>
        <v>0</v>
      </c>
      <c r="P1454" s="158"/>
      <c r="Q1454" s="1071">
        <f t="shared" si="293"/>
        <v>0</v>
      </c>
    </row>
    <row r="1455" spans="9:17" ht="13.9" x14ac:dyDescent="0.4">
      <c r="I1455" s="1073">
        <f t="shared" si="292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1"/>
        <v>0</v>
      </c>
      <c r="P1455" s="158"/>
      <c r="Q1455" s="1071">
        <f t="shared" si="293"/>
        <v>0</v>
      </c>
    </row>
    <row r="1456" spans="9:17" ht="13.9" x14ac:dyDescent="0.4">
      <c r="I1456" s="1073">
        <f t="shared" si="292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1"/>
        <v>0</v>
      </c>
      <c r="P1456" s="158"/>
      <c r="Q1456" s="1071">
        <f t="shared" si="293"/>
        <v>0</v>
      </c>
    </row>
    <row r="1457" spans="9:17" ht="13.9" x14ac:dyDescent="0.4">
      <c r="I1457" s="1073">
        <f t="shared" si="292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1"/>
        <v>0</v>
      </c>
      <c r="P1457" s="158"/>
      <c r="Q1457" s="1071">
        <f t="shared" si="293"/>
        <v>0</v>
      </c>
    </row>
    <row r="1458" spans="9:17" ht="13.9" x14ac:dyDescent="0.4">
      <c r="I1458" s="1073">
        <f t="shared" si="292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1"/>
        <v>0</v>
      </c>
      <c r="P1458" s="158"/>
      <c r="Q1458" s="1071">
        <f t="shared" si="293"/>
        <v>0</v>
      </c>
    </row>
    <row r="1459" spans="9:17" ht="13.9" x14ac:dyDescent="0.4">
      <c r="I1459" s="1073">
        <f t="shared" si="292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1"/>
        <v>0</v>
      </c>
      <c r="P1459" s="158"/>
      <c r="Q1459" s="1071">
        <f t="shared" si="293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Nematicide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Growth Regulator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4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5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4"/>
        <v>0</v>
      </c>
      <c r="P1471" s="160"/>
      <c r="Q1471" s="1071">
        <f t="shared" ref="Q1471:Q1476" si="296">Q1470</f>
        <v>0</v>
      </c>
    </row>
    <row r="1472" spans="9:17" ht="13.9" x14ac:dyDescent="0.4">
      <c r="I1472" s="1073">
        <f t="shared" si="295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4"/>
        <v>0</v>
      </c>
      <c r="P1472" s="160"/>
      <c r="Q1472" s="1071">
        <f t="shared" si="296"/>
        <v>0</v>
      </c>
    </row>
    <row r="1473" spans="9:17" ht="13.9" x14ac:dyDescent="0.4">
      <c r="I1473" s="1073">
        <f t="shared" si="295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4"/>
        <v>0</v>
      </c>
      <c r="P1473" s="158"/>
      <c r="Q1473" s="1071">
        <f t="shared" si="296"/>
        <v>0</v>
      </c>
    </row>
    <row r="1474" spans="9:17" ht="13.9" x14ac:dyDescent="0.4">
      <c r="I1474" s="1073">
        <f t="shared" si="295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4"/>
        <v>0</v>
      </c>
      <c r="P1474" s="158"/>
      <c r="Q1474" s="1071">
        <f t="shared" si="296"/>
        <v>0</v>
      </c>
    </row>
    <row r="1475" spans="9:17" ht="13.9" x14ac:dyDescent="0.4">
      <c r="I1475" s="1073">
        <f t="shared" si="295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4"/>
        <v>0</v>
      </c>
      <c r="P1475" s="158"/>
      <c r="Q1475" s="1071">
        <f t="shared" si="296"/>
        <v>0</v>
      </c>
    </row>
    <row r="1476" spans="9:17" ht="13.9" x14ac:dyDescent="0.4">
      <c r="I1476" s="1073">
        <f t="shared" si="295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4"/>
        <v>0</v>
      </c>
      <c r="P1476" s="158"/>
      <c r="Q1476" s="1071">
        <f t="shared" si="296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Defoliant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7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8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7"/>
        <v>0</v>
      </c>
      <c r="P1482" s="160"/>
      <c r="Q1482" s="1071">
        <f t="shared" ref="Q1482:Q1487" si="299">Q1481</f>
        <v>0</v>
      </c>
    </row>
    <row r="1483" spans="9:17" ht="13.9" x14ac:dyDescent="0.4">
      <c r="I1483" s="1073">
        <f t="shared" si="298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7"/>
        <v>0</v>
      </c>
      <c r="P1483" s="160"/>
      <c r="Q1483" s="1071">
        <f t="shared" si="299"/>
        <v>0</v>
      </c>
    </row>
    <row r="1484" spans="9:17" ht="13.9" x14ac:dyDescent="0.4">
      <c r="I1484" s="1073">
        <f t="shared" si="298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7"/>
        <v>0</v>
      </c>
      <c r="P1484" s="160"/>
      <c r="Q1484" s="1071">
        <f t="shared" si="299"/>
        <v>0</v>
      </c>
    </row>
    <row r="1485" spans="9:17" ht="13.9" x14ac:dyDescent="0.4">
      <c r="I1485" s="1073">
        <f t="shared" si="298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7"/>
        <v>0</v>
      </c>
      <c r="P1485" s="160"/>
      <c r="Q1485" s="1071">
        <f t="shared" si="299"/>
        <v>0</v>
      </c>
    </row>
    <row r="1486" spans="9:17" ht="13.9" x14ac:dyDescent="0.4">
      <c r="I1486" s="1073">
        <f t="shared" si="298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7"/>
        <v>0</v>
      </c>
      <c r="P1486" s="158"/>
      <c r="Q1486" s="1071">
        <f t="shared" si="299"/>
        <v>0</v>
      </c>
    </row>
    <row r="1487" spans="9:17" ht="13.9" x14ac:dyDescent="0.4">
      <c r="I1487" s="1073">
        <f t="shared" si="298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7"/>
        <v>0</v>
      </c>
      <c r="P1487" s="158"/>
      <c r="Q1487" s="1071">
        <f t="shared" si="299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300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1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300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1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300"/>
        <v>21.892499999999998</v>
      </c>
      <c r="P1496" s="1449">
        <f>N1496</f>
        <v>32</v>
      </c>
      <c r="Q1496" s="1071">
        <f t="shared" ref="Q1496:Q1507" si="302">Q1495</f>
        <v>0</v>
      </c>
    </row>
    <row r="1497" spans="9:17" ht="13.9" x14ac:dyDescent="0.4">
      <c r="I1497" s="1073">
        <f t="shared" si="301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300"/>
        <v>4.5</v>
      </c>
      <c r="P1497" s="1449">
        <f>N1497</f>
        <v>32</v>
      </c>
      <c r="Q1497" s="1071">
        <f t="shared" si="302"/>
        <v>0</v>
      </c>
    </row>
    <row r="1498" spans="9:17" ht="13.9" x14ac:dyDescent="0.4">
      <c r="I1498" s="1073">
        <f t="shared" si="301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300"/>
        <v>15.32</v>
      </c>
      <c r="P1498" s="160">
        <f>N1498*16</f>
        <v>512</v>
      </c>
      <c r="Q1498" s="1071">
        <f t="shared" si="302"/>
        <v>0</v>
      </c>
    </row>
    <row r="1499" spans="9:17" ht="13.9" x14ac:dyDescent="0.4">
      <c r="I1499" s="1073">
        <f t="shared" si="301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300"/>
        <v>20.09765625</v>
      </c>
      <c r="P1499" s="1449">
        <f>N1499</f>
        <v>3.5</v>
      </c>
      <c r="Q1499" s="1071">
        <f t="shared" si="302"/>
        <v>0</v>
      </c>
    </row>
    <row r="1500" spans="9:17" ht="13.9" x14ac:dyDescent="0.4">
      <c r="I1500" s="1073">
        <f t="shared" si="301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300"/>
        <v>0</v>
      </c>
      <c r="P1500" s="160"/>
      <c r="Q1500" s="1071">
        <f t="shared" si="302"/>
        <v>0</v>
      </c>
    </row>
    <row r="1501" spans="9:17" ht="13.9" x14ac:dyDescent="0.4">
      <c r="I1501" s="1073">
        <f t="shared" si="301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300"/>
        <v>0</v>
      </c>
      <c r="P1501" s="160"/>
      <c r="Q1501" s="1071">
        <f t="shared" si="302"/>
        <v>0</v>
      </c>
    </row>
    <row r="1502" spans="9:17" ht="13.9" x14ac:dyDescent="0.4">
      <c r="I1502" s="1073">
        <f t="shared" si="301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300"/>
        <v>0</v>
      </c>
      <c r="P1502" s="160"/>
      <c r="Q1502" s="1071">
        <f t="shared" si="302"/>
        <v>0</v>
      </c>
    </row>
    <row r="1503" spans="9:17" ht="13.9" x14ac:dyDescent="0.4">
      <c r="I1503" s="1073">
        <f t="shared" si="301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300"/>
        <v>0</v>
      </c>
      <c r="P1503" s="160"/>
      <c r="Q1503" s="1071">
        <f t="shared" si="302"/>
        <v>0</v>
      </c>
    </row>
    <row r="1504" spans="9:17" ht="13.9" x14ac:dyDescent="0.4">
      <c r="I1504" s="1073">
        <f t="shared" si="301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300"/>
        <v>0</v>
      </c>
      <c r="P1504" s="160"/>
      <c r="Q1504" s="1071">
        <f t="shared" si="302"/>
        <v>0</v>
      </c>
    </row>
    <row r="1505" spans="9:17" ht="13.9" x14ac:dyDescent="0.4">
      <c r="I1505" s="1073">
        <f t="shared" si="301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300"/>
        <v>0</v>
      </c>
      <c r="P1505" s="160"/>
      <c r="Q1505" s="1071">
        <f t="shared" si="302"/>
        <v>0</v>
      </c>
    </row>
    <row r="1506" spans="9:17" ht="13.9" x14ac:dyDescent="0.4">
      <c r="I1506" s="1073">
        <f t="shared" si="301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300"/>
        <v>0</v>
      </c>
      <c r="P1506" s="160"/>
      <c r="Q1506" s="1071">
        <f t="shared" si="302"/>
        <v>0</v>
      </c>
    </row>
    <row r="1507" spans="9:17" ht="13.9" x14ac:dyDescent="0.4">
      <c r="I1507" s="1073">
        <f t="shared" si="301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300"/>
        <v>0</v>
      </c>
      <c r="P1507" s="160"/>
      <c r="Q1507" s="1071">
        <f t="shared" si="302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3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4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3"/>
        <v>0</v>
      </c>
      <c r="P1513" s="158"/>
      <c r="Q1513" s="1071">
        <f>Q1512</f>
        <v>0</v>
      </c>
    </row>
    <row r="1514" spans="9:17" ht="13.9" x14ac:dyDescent="0.4">
      <c r="I1514" s="1073">
        <f t="shared" si="304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3"/>
        <v>0</v>
      </c>
      <c r="P1514" s="158"/>
      <c r="Q1514" s="1071">
        <f t="shared" ref="Q1514:Q1521" si="305">Q1513</f>
        <v>0</v>
      </c>
    </row>
    <row r="1515" spans="9:17" ht="13.9" x14ac:dyDescent="0.4">
      <c r="I1515" s="1073">
        <f t="shared" si="304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3"/>
        <v>0</v>
      </c>
      <c r="P1515" s="158"/>
      <c r="Q1515" s="1071">
        <f t="shared" si="305"/>
        <v>0</v>
      </c>
    </row>
    <row r="1516" spans="9:17" ht="13.9" x14ac:dyDescent="0.4">
      <c r="I1516" s="1073">
        <f t="shared" si="304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3"/>
        <v>0</v>
      </c>
      <c r="P1516" s="158"/>
      <c r="Q1516" s="1071">
        <f t="shared" si="305"/>
        <v>0</v>
      </c>
    </row>
    <row r="1517" spans="9:17" ht="13.9" x14ac:dyDescent="0.4">
      <c r="I1517" s="1073">
        <f t="shared" si="304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3"/>
        <v>0</v>
      </c>
      <c r="P1517" s="158"/>
      <c r="Q1517" s="1071">
        <f t="shared" si="305"/>
        <v>0</v>
      </c>
    </row>
    <row r="1518" spans="9:17" ht="13.9" x14ac:dyDescent="0.4">
      <c r="I1518" s="1073">
        <f t="shared" si="304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3"/>
        <v>0</v>
      </c>
      <c r="P1518" s="158"/>
      <c r="Q1518" s="1071">
        <f t="shared" si="305"/>
        <v>0</v>
      </c>
    </row>
    <row r="1519" spans="9:17" ht="13.9" x14ac:dyDescent="0.4">
      <c r="I1519" s="1073">
        <f t="shared" si="304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3"/>
        <v>0</v>
      </c>
      <c r="P1519" s="158"/>
      <c r="Q1519" s="1071">
        <f t="shared" si="305"/>
        <v>0</v>
      </c>
    </row>
    <row r="1520" spans="9:17" ht="13.9" x14ac:dyDescent="0.4">
      <c r="I1520" s="1073">
        <f t="shared" si="304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3"/>
        <v>0</v>
      </c>
      <c r="P1520" s="158"/>
      <c r="Q1520" s="1071">
        <f t="shared" si="305"/>
        <v>0</v>
      </c>
    </row>
    <row r="1521" spans="9:17" ht="13.9" x14ac:dyDescent="0.4">
      <c r="I1521" s="1073">
        <f t="shared" si="304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3"/>
        <v>0</v>
      </c>
      <c r="P1521" s="158"/>
      <c r="Q1521" s="1071">
        <f t="shared" si="305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Nematicide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Growth Regulator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6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7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6"/>
        <v>0</v>
      </c>
      <c r="P1533" s="160"/>
      <c r="Q1533" s="1071">
        <f t="shared" ref="Q1533:Q1538" si="308">Q1532</f>
        <v>0</v>
      </c>
    </row>
    <row r="1534" spans="9:17" ht="13.9" x14ac:dyDescent="0.4">
      <c r="I1534" s="1073">
        <f t="shared" si="307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6"/>
        <v>0</v>
      </c>
      <c r="P1534" s="160"/>
      <c r="Q1534" s="1071">
        <f t="shared" si="308"/>
        <v>0</v>
      </c>
    </row>
    <row r="1535" spans="9:17" ht="13.9" x14ac:dyDescent="0.4">
      <c r="I1535" s="1073">
        <f t="shared" si="307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6"/>
        <v>0</v>
      </c>
      <c r="P1535" s="158"/>
      <c r="Q1535" s="1071">
        <f t="shared" si="308"/>
        <v>0</v>
      </c>
    </row>
    <row r="1536" spans="9:17" ht="13.9" x14ac:dyDescent="0.4">
      <c r="I1536" s="1073">
        <f t="shared" si="307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6"/>
        <v>0</v>
      </c>
      <c r="P1536" s="158"/>
      <c r="Q1536" s="1071">
        <f t="shared" si="308"/>
        <v>0</v>
      </c>
    </row>
    <row r="1537" spans="9:17" ht="13.9" x14ac:dyDescent="0.4">
      <c r="I1537" s="1073">
        <f t="shared" si="307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6"/>
        <v>0</v>
      </c>
      <c r="P1537" s="158"/>
      <c r="Q1537" s="1071">
        <f t="shared" si="308"/>
        <v>0</v>
      </c>
    </row>
    <row r="1538" spans="9:17" ht="13.9" x14ac:dyDescent="0.4">
      <c r="I1538" s="1073">
        <f t="shared" si="307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6"/>
        <v>0</v>
      </c>
      <c r="P1538" s="158"/>
      <c r="Q1538" s="1071">
        <f t="shared" si="308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Defoliant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9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10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9"/>
        <v>0</v>
      </c>
      <c r="P1544" s="160"/>
      <c r="Q1544" s="1071">
        <f t="shared" ref="Q1544:Q1549" si="311">Q1543</f>
        <v>0</v>
      </c>
    </row>
    <row r="1545" spans="9:17" ht="13.9" x14ac:dyDescent="0.4">
      <c r="I1545" s="1073">
        <f t="shared" si="310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9"/>
        <v>0</v>
      </c>
      <c r="P1545" s="160"/>
      <c r="Q1545" s="1071">
        <f t="shared" si="311"/>
        <v>0</v>
      </c>
    </row>
    <row r="1546" spans="9:17" ht="13.9" x14ac:dyDescent="0.4">
      <c r="I1546" s="1073">
        <f t="shared" si="310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9"/>
        <v>0</v>
      </c>
      <c r="P1546" s="160"/>
      <c r="Q1546" s="1071">
        <f t="shared" si="311"/>
        <v>0</v>
      </c>
    </row>
    <row r="1547" spans="9:17" ht="13.9" x14ac:dyDescent="0.4">
      <c r="I1547" s="1073">
        <f t="shared" si="310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9"/>
        <v>0</v>
      </c>
      <c r="P1547" s="160"/>
      <c r="Q1547" s="1071">
        <f t="shared" si="311"/>
        <v>0</v>
      </c>
    </row>
    <row r="1548" spans="9:17" ht="13.9" x14ac:dyDescent="0.4">
      <c r="I1548" s="1073">
        <f t="shared" si="310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9"/>
        <v>0</v>
      </c>
      <c r="P1548" s="158"/>
      <c r="Q1548" s="1071">
        <f t="shared" si="311"/>
        <v>0</v>
      </c>
    </row>
    <row r="1549" spans="9:17" ht="13.9" x14ac:dyDescent="0.4">
      <c r="I1549" s="1073">
        <f t="shared" si="310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9"/>
        <v>0</v>
      </c>
      <c r="P1549" s="158"/>
      <c r="Q1549" s="1071">
        <f t="shared" si="311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2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3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2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3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2"/>
        <v>21.892499999999998</v>
      </c>
      <c r="P1558" s="1449">
        <f>N1558</f>
        <v>32</v>
      </c>
      <c r="Q1558" s="1071">
        <f t="shared" ref="Q1558:Q1569" si="314">Q1557</f>
        <v>0</v>
      </c>
    </row>
    <row r="1559" spans="9:17" ht="13.9" x14ac:dyDescent="0.4">
      <c r="I1559" s="1073">
        <f t="shared" si="313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2"/>
        <v>4.5</v>
      </c>
      <c r="P1559" s="1449">
        <f>N1559</f>
        <v>32</v>
      </c>
      <c r="Q1559" s="1071">
        <f t="shared" si="314"/>
        <v>0</v>
      </c>
    </row>
    <row r="1560" spans="9:17" ht="13.9" x14ac:dyDescent="0.4">
      <c r="I1560" s="1073">
        <f t="shared" si="313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2"/>
        <v>15.32</v>
      </c>
      <c r="P1560" s="160">
        <f>N1560*16</f>
        <v>512</v>
      </c>
      <c r="Q1560" s="1071">
        <f t="shared" si="314"/>
        <v>0</v>
      </c>
    </row>
    <row r="1561" spans="9:17" ht="13.9" x14ac:dyDescent="0.4">
      <c r="I1561" s="1073">
        <f t="shared" si="313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2"/>
        <v>20.09765625</v>
      </c>
      <c r="P1561" s="1449">
        <f>N1561</f>
        <v>3.5</v>
      </c>
      <c r="Q1561" s="1071">
        <f t="shared" si="314"/>
        <v>0</v>
      </c>
    </row>
    <row r="1562" spans="9:17" ht="13.9" x14ac:dyDescent="0.4">
      <c r="I1562" s="1073">
        <f t="shared" si="313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2"/>
        <v>0</v>
      </c>
      <c r="P1562" s="160"/>
      <c r="Q1562" s="1071">
        <f t="shared" si="314"/>
        <v>0</v>
      </c>
    </row>
    <row r="1563" spans="9:17" ht="13.9" x14ac:dyDescent="0.4">
      <c r="I1563" s="1073">
        <f t="shared" si="313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2"/>
        <v>0</v>
      </c>
      <c r="P1563" s="160"/>
      <c r="Q1563" s="1071">
        <f t="shared" si="314"/>
        <v>0</v>
      </c>
    </row>
    <row r="1564" spans="9:17" ht="13.9" x14ac:dyDescent="0.4">
      <c r="I1564" s="1073">
        <f t="shared" si="313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2"/>
        <v>0</v>
      </c>
      <c r="P1564" s="160"/>
      <c r="Q1564" s="1071">
        <f t="shared" si="314"/>
        <v>0</v>
      </c>
    </row>
    <row r="1565" spans="9:17" ht="13.9" x14ac:dyDescent="0.4">
      <c r="I1565" s="1073">
        <f t="shared" si="313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2"/>
        <v>0</v>
      </c>
      <c r="P1565" s="160"/>
      <c r="Q1565" s="1071">
        <f t="shared" si="314"/>
        <v>0</v>
      </c>
    </row>
    <row r="1566" spans="9:17" ht="13.9" x14ac:dyDescent="0.4">
      <c r="I1566" s="1073">
        <f t="shared" si="313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2"/>
        <v>0</v>
      </c>
      <c r="P1566" s="160"/>
      <c r="Q1566" s="1071">
        <f t="shared" si="314"/>
        <v>0</v>
      </c>
    </row>
    <row r="1567" spans="9:17" ht="13.9" x14ac:dyDescent="0.4">
      <c r="I1567" s="1073">
        <f t="shared" si="313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2"/>
        <v>0</v>
      </c>
      <c r="P1567" s="160"/>
      <c r="Q1567" s="1071">
        <f t="shared" si="314"/>
        <v>0</v>
      </c>
    </row>
    <row r="1568" spans="9:17" ht="13.9" x14ac:dyDescent="0.4">
      <c r="I1568" s="1073">
        <f t="shared" si="313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2"/>
        <v>0</v>
      </c>
      <c r="P1568" s="160"/>
      <c r="Q1568" s="1071">
        <f t="shared" si="314"/>
        <v>0</v>
      </c>
    </row>
    <row r="1569" spans="9:17" ht="13.9" x14ac:dyDescent="0.4">
      <c r="I1569" s="1073">
        <f t="shared" si="313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2"/>
        <v>0</v>
      </c>
      <c r="P1569" s="160"/>
      <c r="Q1569" s="1071">
        <f t="shared" si="314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5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6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5"/>
        <v>0</v>
      </c>
      <c r="P1575" s="158"/>
      <c r="Q1575" s="1071">
        <f>Q1574</f>
        <v>0</v>
      </c>
    </row>
    <row r="1576" spans="9:17" ht="13.9" x14ac:dyDescent="0.4">
      <c r="I1576" s="1073">
        <f t="shared" si="316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5"/>
        <v>0</v>
      </c>
      <c r="P1576" s="158"/>
      <c r="Q1576" s="1071">
        <f t="shared" ref="Q1576:Q1583" si="317">Q1575</f>
        <v>0</v>
      </c>
    </row>
    <row r="1577" spans="9:17" ht="13.9" x14ac:dyDescent="0.4">
      <c r="I1577" s="1073">
        <f t="shared" si="316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5"/>
        <v>0</v>
      </c>
      <c r="P1577" s="158"/>
      <c r="Q1577" s="1071">
        <f t="shared" si="317"/>
        <v>0</v>
      </c>
    </row>
    <row r="1578" spans="9:17" ht="13.9" x14ac:dyDescent="0.4">
      <c r="I1578" s="1073">
        <f t="shared" si="316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5"/>
        <v>0</v>
      </c>
      <c r="P1578" s="158"/>
      <c r="Q1578" s="1071">
        <f t="shared" si="317"/>
        <v>0</v>
      </c>
    </row>
    <row r="1579" spans="9:17" ht="13.9" x14ac:dyDescent="0.4">
      <c r="I1579" s="1073">
        <f t="shared" si="316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5"/>
        <v>0</v>
      </c>
      <c r="P1579" s="158"/>
      <c r="Q1579" s="1071">
        <f t="shared" si="317"/>
        <v>0</v>
      </c>
    </row>
    <row r="1580" spans="9:17" ht="13.9" x14ac:dyDescent="0.4">
      <c r="I1580" s="1073">
        <f t="shared" si="316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5"/>
        <v>0</v>
      </c>
      <c r="P1580" s="158"/>
      <c r="Q1580" s="1071">
        <f t="shared" si="317"/>
        <v>0</v>
      </c>
    </row>
    <row r="1581" spans="9:17" ht="13.9" x14ac:dyDescent="0.4">
      <c r="I1581" s="1073">
        <f t="shared" si="316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5"/>
        <v>0</v>
      </c>
      <c r="P1581" s="158"/>
      <c r="Q1581" s="1071">
        <f t="shared" si="317"/>
        <v>0</v>
      </c>
    </row>
    <row r="1582" spans="9:17" ht="13.9" x14ac:dyDescent="0.4">
      <c r="I1582" s="1073">
        <f t="shared" si="316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5"/>
        <v>0</v>
      </c>
      <c r="P1582" s="158"/>
      <c r="Q1582" s="1071">
        <f t="shared" si="317"/>
        <v>0</v>
      </c>
    </row>
    <row r="1583" spans="9:17" ht="13.9" x14ac:dyDescent="0.4">
      <c r="I1583" s="1073">
        <f t="shared" si="316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5"/>
        <v>0</v>
      </c>
      <c r="P1583" s="158"/>
      <c r="Q1583" s="1071">
        <f t="shared" si="317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Nematicide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Growth Regulator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8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9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8"/>
        <v>0</v>
      </c>
      <c r="P1595" s="160"/>
      <c r="Q1595" s="1071">
        <f t="shared" ref="Q1595:Q1600" si="320">Q1594</f>
        <v>0</v>
      </c>
    </row>
    <row r="1596" spans="9:17" ht="13.9" x14ac:dyDescent="0.4">
      <c r="I1596" s="1073">
        <f t="shared" si="319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8"/>
        <v>0</v>
      </c>
      <c r="P1596" s="160"/>
      <c r="Q1596" s="1071">
        <f t="shared" si="320"/>
        <v>0</v>
      </c>
    </row>
    <row r="1597" spans="9:17" ht="13.9" x14ac:dyDescent="0.4">
      <c r="I1597" s="1073">
        <f t="shared" si="319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8"/>
        <v>0</v>
      </c>
      <c r="P1597" s="158"/>
      <c r="Q1597" s="1071">
        <f t="shared" si="320"/>
        <v>0</v>
      </c>
    </row>
    <row r="1598" spans="9:17" ht="13.9" x14ac:dyDescent="0.4">
      <c r="I1598" s="1073">
        <f t="shared" si="319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8"/>
        <v>0</v>
      </c>
      <c r="P1598" s="158"/>
      <c r="Q1598" s="1071">
        <f t="shared" si="320"/>
        <v>0</v>
      </c>
    </row>
    <row r="1599" spans="9:17" ht="13.9" x14ac:dyDescent="0.4">
      <c r="I1599" s="1073">
        <f t="shared" si="319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8"/>
        <v>0</v>
      </c>
      <c r="P1599" s="158"/>
      <c r="Q1599" s="1071">
        <f t="shared" si="320"/>
        <v>0</v>
      </c>
    </row>
    <row r="1600" spans="9:17" ht="13.9" x14ac:dyDescent="0.4">
      <c r="I1600" s="1073">
        <f t="shared" si="319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8"/>
        <v>0</v>
      </c>
      <c r="P1600" s="158"/>
      <c r="Q1600" s="1071">
        <f t="shared" si="320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Defoliant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1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2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1"/>
        <v>0</v>
      </c>
      <c r="P1606" s="160"/>
      <c r="Q1606" s="1071">
        <f t="shared" ref="Q1606:Q1611" si="323">Q1605</f>
        <v>0</v>
      </c>
    </row>
    <row r="1607" spans="9:17" ht="13.9" x14ac:dyDescent="0.4">
      <c r="I1607" s="1073">
        <f t="shared" si="322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1"/>
        <v>0</v>
      </c>
      <c r="P1607" s="160"/>
      <c r="Q1607" s="1071">
        <f t="shared" si="323"/>
        <v>0</v>
      </c>
    </row>
    <row r="1608" spans="9:17" ht="13.9" x14ac:dyDescent="0.4">
      <c r="I1608" s="1073">
        <f t="shared" si="322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1"/>
        <v>0</v>
      </c>
      <c r="P1608" s="160"/>
      <c r="Q1608" s="1071">
        <f t="shared" si="323"/>
        <v>0</v>
      </c>
    </row>
    <row r="1609" spans="9:17" ht="13.9" x14ac:dyDescent="0.4">
      <c r="I1609" s="1073">
        <f t="shared" si="322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1"/>
        <v>0</v>
      </c>
      <c r="P1609" s="160"/>
      <c r="Q1609" s="1071">
        <f t="shared" si="323"/>
        <v>0</v>
      </c>
    </row>
    <row r="1610" spans="9:17" ht="13.9" x14ac:dyDescent="0.4">
      <c r="I1610" s="1073">
        <f t="shared" si="322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1"/>
        <v>0</v>
      </c>
      <c r="P1610" s="158"/>
      <c r="Q1610" s="1071">
        <f t="shared" si="323"/>
        <v>0</v>
      </c>
    </row>
    <row r="1611" spans="9:17" ht="13.9" x14ac:dyDescent="0.4">
      <c r="I1611" s="1073">
        <f t="shared" si="322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1"/>
        <v>0</v>
      </c>
      <c r="P1611" s="158"/>
      <c r="Q1611" s="1071">
        <f t="shared" si="323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4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5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4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5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4"/>
        <v>21.892499999999998</v>
      </c>
      <c r="P1620" s="160">
        <f>N1620</f>
        <v>32</v>
      </c>
      <c r="Q1620" s="1071">
        <f t="shared" ref="Q1620:Q1631" si="326">Q1619</f>
        <v>0</v>
      </c>
    </row>
    <row r="1621" spans="9:17" ht="13.9" x14ac:dyDescent="0.4">
      <c r="I1621" s="1073">
        <f t="shared" si="325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4"/>
        <v>8.7668750000000006</v>
      </c>
      <c r="P1621" s="1449">
        <f>N1621*16</f>
        <v>512</v>
      </c>
      <c r="Q1621" s="1071">
        <f t="shared" si="326"/>
        <v>0</v>
      </c>
    </row>
    <row r="1622" spans="9:17" ht="13.9" x14ac:dyDescent="0.4">
      <c r="I1622" s="1073">
        <f t="shared" si="325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4"/>
        <v>20.09765625</v>
      </c>
      <c r="P1622" s="1449">
        <f>N1622*16</f>
        <v>56</v>
      </c>
      <c r="Q1622" s="1071">
        <f t="shared" si="326"/>
        <v>0</v>
      </c>
    </row>
    <row r="1623" spans="9:17" ht="13.9" x14ac:dyDescent="0.4">
      <c r="I1623" s="1073">
        <f t="shared" si="325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4"/>
        <v>0.6796875</v>
      </c>
      <c r="P1623" s="1449">
        <f>N1623</f>
        <v>1.5</v>
      </c>
      <c r="Q1623" s="1071">
        <f t="shared" si="326"/>
        <v>0</v>
      </c>
    </row>
    <row r="1624" spans="9:17" ht="13.9" x14ac:dyDescent="0.4">
      <c r="I1624" s="1073">
        <f t="shared" si="325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4"/>
        <v>12.600000000000001</v>
      </c>
      <c r="P1624" s="160"/>
      <c r="Q1624" s="1071">
        <f t="shared" si="326"/>
        <v>0</v>
      </c>
    </row>
    <row r="1625" spans="9:17" ht="13.9" x14ac:dyDescent="0.4">
      <c r="I1625" s="1073">
        <f t="shared" si="325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4"/>
        <v>7.375</v>
      </c>
      <c r="P1625" s="160"/>
      <c r="Q1625" s="1071">
        <f t="shared" si="326"/>
        <v>0</v>
      </c>
    </row>
    <row r="1626" spans="9:17" ht="13.9" x14ac:dyDescent="0.4">
      <c r="I1626" s="1073">
        <f t="shared" si="325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4"/>
        <v>12.036</v>
      </c>
      <c r="P1626" s="160"/>
      <c r="Q1626" s="1071">
        <f t="shared" si="326"/>
        <v>0</v>
      </c>
    </row>
    <row r="1627" spans="9:17" ht="13.9" x14ac:dyDescent="0.4">
      <c r="I1627" s="1073">
        <f t="shared" si="325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4"/>
        <v>0.70937499999999998</v>
      </c>
      <c r="P1627" s="160"/>
      <c r="Q1627" s="1071">
        <f t="shared" si="326"/>
        <v>0</v>
      </c>
    </row>
    <row r="1628" spans="9:17" ht="13.9" x14ac:dyDescent="0.4">
      <c r="I1628" s="1073">
        <f t="shared" si="325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4"/>
        <v>0</v>
      </c>
      <c r="P1628" s="160"/>
      <c r="Q1628" s="1071">
        <f t="shared" si="326"/>
        <v>0</v>
      </c>
    </row>
    <row r="1629" spans="9:17" ht="13.9" x14ac:dyDescent="0.4">
      <c r="I1629" s="1073">
        <f t="shared" si="325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4"/>
        <v>0</v>
      </c>
      <c r="P1629" s="160"/>
      <c r="Q1629" s="1071">
        <f t="shared" si="326"/>
        <v>0</v>
      </c>
    </row>
    <row r="1630" spans="9:17" ht="13.9" x14ac:dyDescent="0.4">
      <c r="I1630" s="1073">
        <f t="shared" si="325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4"/>
        <v>0</v>
      </c>
      <c r="P1630" s="160"/>
      <c r="Q1630" s="1071">
        <f t="shared" si="326"/>
        <v>0</v>
      </c>
    </row>
    <row r="1631" spans="9:17" ht="13.9" x14ac:dyDescent="0.4">
      <c r="I1631" s="1073">
        <f t="shared" si="325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4"/>
        <v>0</v>
      </c>
      <c r="P1631" s="160"/>
      <c r="Q1631" s="1071">
        <f t="shared" si="326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7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8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7"/>
        <v>0</v>
      </c>
      <c r="P1637" s="158"/>
      <c r="Q1637" s="1071">
        <f>Q1636</f>
        <v>0</v>
      </c>
    </row>
    <row r="1638" spans="9:17" ht="13.9" x14ac:dyDescent="0.4">
      <c r="I1638" s="1073">
        <f t="shared" si="328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7"/>
        <v>0</v>
      </c>
      <c r="P1638" s="158"/>
      <c r="Q1638" s="1071">
        <f t="shared" ref="Q1638:Q1645" si="329">Q1637</f>
        <v>0</v>
      </c>
    </row>
    <row r="1639" spans="9:17" ht="13.9" x14ac:dyDescent="0.4">
      <c r="I1639" s="1073">
        <f t="shared" si="328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7"/>
        <v>0</v>
      </c>
      <c r="P1639" s="158"/>
      <c r="Q1639" s="1071">
        <f t="shared" si="329"/>
        <v>0</v>
      </c>
    </row>
    <row r="1640" spans="9:17" ht="13.9" x14ac:dyDescent="0.4">
      <c r="I1640" s="1073">
        <f t="shared" si="328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7"/>
        <v>0</v>
      </c>
      <c r="P1640" s="158"/>
      <c r="Q1640" s="1071">
        <f t="shared" si="329"/>
        <v>0</v>
      </c>
    </row>
    <row r="1641" spans="9:17" ht="13.9" x14ac:dyDescent="0.4">
      <c r="I1641" s="1073">
        <f t="shared" si="328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7"/>
        <v>0</v>
      </c>
      <c r="P1641" s="158"/>
      <c r="Q1641" s="1071">
        <f t="shared" si="329"/>
        <v>0</v>
      </c>
    </row>
    <row r="1642" spans="9:17" ht="13.9" x14ac:dyDescent="0.4">
      <c r="I1642" s="1073">
        <f t="shared" si="328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7"/>
        <v>0</v>
      </c>
      <c r="P1642" s="158"/>
      <c r="Q1642" s="1071">
        <f t="shared" si="329"/>
        <v>0</v>
      </c>
    </row>
    <row r="1643" spans="9:17" ht="13.9" x14ac:dyDescent="0.4">
      <c r="I1643" s="1073">
        <f t="shared" si="328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7"/>
        <v>0</v>
      </c>
      <c r="P1643" s="158"/>
      <c r="Q1643" s="1071">
        <f t="shared" si="329"/>
        <v>0</v>
      </c>
    </row>
    <row r="1644" spans="9:17" ht="13.9" x14ac:dyDescent="0.4">
      <c r="I1644" s="1073">
        <f t="shared" si="328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7"/>
        <v>0</v>
      </c>
      <c r="P1644" s="158"/>
      <c r="Q1644" s="1071">
        <f t="shared" si="329"/>
        <v>0</v>
      </c>
    </row>
    <row r="1645" spans="9:17" ht="13.9" x14ac:dyDescent="0.4">
      <c r="I1645" s="1073">
        <f t="shared" si="328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7"/>
        <v>0</v>
      </c>
      <c r="P1645" s="158"/>
      <c r="Q1645" s="1071">
        <f t="shared" si="329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Nematicide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Growth Regulator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30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1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30"/>
        <v>0</v>
      </c>
      <c r="P1657" s="158"/>
      <c r="Q1657" s="1071">
        <f t="shared" ref="Q1657:Q1662" si="332">Q1656</f>
        <v>0</v>
      </c>
    </row>
    <row r="1658" spans="9:17" ht="13.9" x14ac:dyDescent="0.4">
      <c r="I1658" s="1073">
        <f t="shared" si="331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30"/>
        <v>0</v>
      </c>
      <c r="P1658" s="158"/>
      <c r="Q1658" s="1071">
        <f t="shared" si="332"/>
        <v>0</v>
      </c>
    </row>
    <row r="1659" spans="9:17" ht="13.9" x14ac:dyDescent="0.4">
      <c r="I1659" s="1073">
        <f t="shared" si="331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30"/>
        <v>0</v>
      </c>
      <c r="P1659" s="158"/>
      <c r="Q1659" s="1071">
        <f t="shared" si="332"/>
        <v>0</v>
      </c>
    </row>
    <row r="1660" spans="9:17" ht="13.9" x14ac:dyDescent="0.4">
      <c r="I1660" s="1073">
        <f t="shared" si="331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30"/>
        <v>0</v>
      </c>
      <c r="P1660" s="158"/>
      <c r="Q1660" s="1071">
        <f t="shared" si="332"/>
        <v>0</v>
      </c>
    </row>
    <row r="1661" spans="9:17" ht="13.9" x14ac:dyDescent="0.4">
      <c r="I1661" s="1073">
        <f t="shared" si="331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30"/>
        <v>0</v>
      </c>
      <c r="P1661" s="158"/>
      <c r="Q1661" s="1071">
        <f t="shared" si="332"/>
        <v>0</v>
      </c>
    </row>
    <row r="1662" spans="9:17" ht="13.9" x14ac:dyDescent="0.4">
      <c r="I1662" s="1073">
        <f t="shared" si="331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30"/>
        <v>0</v>
      </c>
      <c r="P1662" s="158"/>
      <c r="Q1662" s="1071">
        <f t="shared" si="332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Defoliant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3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4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3"/>
        <v>0</v>
      </c>
      <c r="P1668" s="158"/>
      <c r="Q1668" s="1071">
        <f t="shared" ref="Q1668:Q1673" si="335">Q1667</f>
        <v>0</v>
      </c>
    </row>
    <row r="1669" spans="9:17" ht="13.9" x14ac:dyDescent="0.4">
      <c r="I1669" s="1073">
        <f t="shared" si="334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3"/>
        <v>0</v>
      </c>
      <c r="P1669" s="158"/>
      <c r="Q1669" s="1071">
        <f t="shared" si="335"/>
        <v>0</v>
      </c>
    </row>
    <row r="1670" spans="9:17" ht="13.9" x14ac:dyDescent="0.4">
      <c r="I1670" s="1073">
        <f t="shared" si="334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3"/>
        <v>0</v>
      </c>
      <c r="P1670" s="158"/>
      <c r="Q1670" s="1071">
        <f t="shared" si="335"/>
        <v>0</v>
      </c>
    </row>
    <row r="1671" spans="9:17" ht="13.9" x14ac:dyDescent="0.4">
      <c r="I1671" s="1073">
        <f t="shared" si="334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3"/>
        <v>0</v>
      </c>
      <c r="P1671" s="158"/>
      <c r="Q1671" s="1071">
        <f t="shared" si="335"/>
        <v>0</v>
      </c>
    </row>
    <row r="1672" spans="9:17" ht="13.9" x14ac:dyDescent="0.4">
      <c r="I1672" s="1073">
        <f t="shared" si="334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3"/>
        <v>0</v>
      </c>
      <c r="P1672" s="158"/>
      <c r="Q1672" s="1071">
        <f t="shared" si="335"/>
        <v>0</v>
      </c>
    </row>
    <row r="1673" spans="9:17" ht="13.9" x14ac:dyDescent="0.4">
      <c r="I1673" s="1073">
        <f t="shared" si="334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3"/>
        <v>0</v>
      </c>
      <c r="P1673" s="158"/>
      <c r="Q1673" s="1071">
        <f t="shared" si="335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6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7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6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7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6"/>
        <v>3.2800781250000002</v>
      </c>
      <c r="P1682" s="1449">
        <f>N1682</f>
        <v>15</v>
      </c>
      <c r="Q1682" s="1071">
        <f t="shared" ref="Q1682:Q1693" si="338">Q1681</f>
        <v>0</v>
      </c>
    </row>
    <row r="1683" spans="9:17" ht="13.9" x14ac:dyDescent="0.4">
      <c r="I1683" s="1073">
        <f t="shared" si="337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6"/>
        <v>12.15</v>
      </c>
      <c r="P1683" s="158"/>
      <c r="Q1683" s="1071">
        <f t="shared" si="338"/>
        <v>0</v>
      </c>
    </row>
    <row r="1684" spans="9:17" ht="13.9" x14ac:dyDescent="0.4">
      <c r="I1684" s="1073">
        <f t="shared" si="337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6"/>
        <v>0.69975000000000009</v>
      </c>
      <c r="P1684" s="158"/>
      <c r="Q1684" s="1071">
        <f t="shared" si="338"/>
        <v>0</v>
      </c>
    </row>
    <row r="1685" spans="9:17" ht="13.9" x14ac:dyDescent="0.4">
      <c r="I1685" s="1073">
        <f t="shared" si="337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6"/>
        <v>0</v>
      </c>
      <c r="P1685" s="158"/>
      <c r="Q1685" s="1071">
        <f t="shared" si="338"/>
        <v>0</v>
      </c>
    </row>
    <row r="1686" spans="9:17" ht="13.9" x14ac:dyDescent="0.4">
      <c r="I1686" s="1073">
        <f t="shared" si="337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6"/>
        <v>0</v>
      </c>
      <c r="P1686" s="158"/>
      <c r="Q1686" s="1071">
        <f t="shared" si="338"/>
        <v>0</v>
      </c>
    </row>
    <row r="1687" spans="9:17" ht="13.9" x14ac:dyDescent="0.4">
      <c r="I1687" s="1073">
        <f t="shared" si="337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6"/>
        <v>0</v>
      </c>
      <c r="P1687" s="158"/>
      <c r="Q1687" s="1071">
        <f t="shared" si="338"/>
        <v>0</v>
      </c>
    </row>
    <row r="1688" spans="9:17" ht="13.9" x14ac:dyDescent="0.4">
      <c r="I1688" s="1073">
        <f t="shared" si="337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6"/>
        <v>0</v>
      </c>
      <c r="P1688" s="158"/>
      <c r="Q1688" s="1071">
        <f t="shared" si="338"/>
        <v>0</v>
      </c>
    </row>
    <row r="1689" spans="9:17" ht="13.9" x14ac:dyDescent="0.4">
      <c r="I1689" s="1073">
        <f t="shared" si="337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6"/>
        <v>0</v>
      </c>
      <c r="P1689" s="160"/>
      <c r="Q1689" s="1071">
        <f t="shared" si="338"/>
        <v>0</v>
      </c>
    </row>
    <row r="1690" spans="9:17" ht="13.9" x14ac:dyDescent="0.4">
      <c r="I1690" s="1073">
        <f t="shared" si="337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6"/>
        <v>0</v>
      </c>
      <c r="P1690" s="160"/>
      <c r="Q1690" s="1071">
        <f t="shared" si="338"/>
        <v>0</v>
      </c>
    </row>
    <row r="1691" spans="9:17" ht="13.9" x14ac:dyDescent="0.4">
      <c r="I1691" s="1073">
        <f t="shared" si="337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6"/>
        <v>0</v>
      </c>
      <c r="P1691" s="160"/>
      <c r="Q1691" s="1071">
        <f t="shared" si="338"/>
        <v>0</v>
      </c>
    </row>
    <row r="1692" spans="9:17" ht="13.9" x14ac:dyDescent="0.4">
      <c r="I1692" s="1073">
        <f t="shared" si="337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6"/>
        <v>0</v>
      </c>
      <c r="P1692" s="160"/>
      <c r="Q1692" s="1071">
        <f t="shared" si="338"/>
        <v>0</v>
      </c>
    </row>
    <row r="1693" spans="9:17" ht="13.9" x14ac:dyDescent="0.4">
      <c r="I1693" s="1073">
        <f t="shared" si="337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6"/>
        <v>0</v>
      </c>
      <c r="P1693" s="160"/>
      <c r="Q1693" s="1071">
        <f t="shared" si="338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9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40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9"/>
        <v>0</v>
      </c>
      <c r="P1699" s="158"/>
      <c r="Q1699" s="1071">
        <f>Q1698</f>
        <v>0</v>
      </c>
    </row>
    <row r="1700" spans="9:17" ht="13.9" x14ac:dyDescent="0.4">
      <c r="I1700" s="1073">
        <f t="shared" si="340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9"/>
        <v>0</v>
      </c>
      <c r="P1700" s="158"/>
      <c r="Q1700" s="1071">
        <f t="shared" ref="Q1700:Q1707" si="341">Q1699</f>
        <v>0</v>
      </c>
    </row>
    <row r="1701" spans="9:17" ht="13.9" x14ac:dyDescent="0.4">
      <c r="I1701" s="1073">
        <f t="shared" si="340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9"/>
        <v>0</v>
      </c>
      <c r="P1701" s="158"/>
      <c r="Q1701" s="1071">
        <f t="shared" si="341"/>
        <v>0</v>
      </c>
    </row>
    <row r="1702" spans="9:17" ht="13.9" x14ac:dyDescent="0.4">
      <c r="I1702" s="1073">
        <f t="shared" si="340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9"/>
        <v>0</v>
      </c>
      <c r="P1702" s="158"/>
      <c r="Q1702" s="1071">
        <f t="shared" si="341"/>
        <v>0</v>
      </c>
    </row>
    <row r="1703" spans="9:17" ht="13.9" x14ac:dyDescent="0.4">
      <c r="I1703" s="1073">
        <f t="shared" si="340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9"/>
        <v>0</v>
      </c>
      <c r="P1703" s="158"/>
      <c r="Q1703" s="1071">
        <f t="shared" si="341"/>
        <v>0</v>
      </c>
    </row>
    <row r="1704" spans="9:17" ht="13.9" x14ac:dyDescent="0.4">
      <c r="I1704" s="1073">
        <f t="shared" si="340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9"/>
        <v>0</v>
      </c>
      <c r="P1704" s="158"/>
      <c r="Q1704" s="1071">
        <f t="shared" si="341"/>
        <v>0</v>
      </c>
    </row>
    <row r="1705" spans="9:17" ht="13.9" x14ac:dyDescent="0.4">
      <c r="I1705" s="1073">
        <f t="shared" si="340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9"/>
        <v>0</v>
      </c>
      <c r="P1705" s="158"/>
      <c r="Q1705" s="1071">
        <f t="shared" si="341"/>
        <v>0</v>
      </c>
    </row>
    <row r="1706" spans="9:17" ht="13.9" x14ac:dyDescent="0.4">
      <c r="I1706" s="1073">
        <f t="shared" si="340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9"/>
        <v>0</v>
      </c>
      <c r="P1706" s="158"/>
      <c r="Q1706" s="1071">
        <f t="shared" si="341"/>
        <v>0</v>
      </c>
    </row>
    <row r="1707" spans="9:17" ht="13.9" x14ac:dyDescent="0.4">
      <c r="I1707" s="1073">
        <f t="shared" si="340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9"/>
        <v>0</v>
      </c>
      <c r="P1707" s="158"/>
      <c r="Q1707" s="1071">
        <f t="shared" si="341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Nematicide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Growth Regulator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2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3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2"/>
        <v>0</v>
      </c>
      <c r="P1719" s="158"/>
      <c r="Q1719" s="1071">
        <f t="shared" ref="Q1719:Q1724" si="344">Q1718</f>
        <v>0</v>
      </c>
    </row>
    <row r="1720" spans="9:17" ht="13.9" x14ac:dyDescent="0.4">
      <c r="I1720" s="1073">
        <f t="shared" si="343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2"/>
        <v>0</v>
      </c>
      <c r="P1720" s="158"/>
      <c r="Q1720" s="1071">
        <f t="shared" si="344"/>
        <v>0</v>
      </c>
    </row>
    <row r="1721" spans="9:17" ht="13.9" x14ac:dyDescent="0.4">
      <c r="I1721" s="1073">
        <f t="shared" si="343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2"/>
        <v>0</v>
      </c>
      <c r="P1721" s="158"/>
      <c r="Q1721" s="1071">
        <f t="shared" si="344"/>
        <v>0</v>
      </c>
    </row>
    <row r="1722" spans="9:17" ht="13.9" x14ac:dyDescent="0.4">
      <c r="I1722" s="1073">
        <f t="shared" si="343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2"/>
        <v>0</v>
      </c>
      <c r="P1722" s="158"/>
      <c r="Q1722" s="1071">
        <f t="shared" si="344"/>
        <v>0</v>
      </c>
    </row>
    <row r="1723" spans="9:17" ht="13.9" x14ac:dyDescent="0.4">
      <c r="I1723" s="1073">
        <f t="shared" si="343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2"/>
        <v>0</v>
      </c>
      <c r="P1723" s="158"/>
      <c r="Q1723" s="1071">
        <f t="shared" si="344"/>
        <v>0</v>
      </c>
    </row>
    <row r="1724" spans="9:17" ht="13.9" x14ac:dyDescent="0.4">
      <c r="I1724" s="1073">
        <f t="shared" si="343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2"/>
        <v>0</v>
      </c>
      <c r="P1724" s="158"/>
      <c r="Q1724" s="1071">
        <f t="shared" si="344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Defoliant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5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6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5"/>
        <v>0</v>
      </c>
      <c r="P1730" s="158"/>
      <c r="Q1730" s="1071">
        <f t="shared" ref="Q1730:Q1735" si="347">Q1729</f>
        <v>0</v>
      </c>
    </row>
    <row r="1731" spans="9:17" ht="13.9" x14ac:dyDescent="0.4">
      <c r="I1731" s="1073">
        <f t="shared" si="346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5"/>
        <v>0</v>
      </c>
      <c r="P1731" s="158"/>
      <c r="Q1731" s="1071">
        <f t="shared" si="347"/>
        <v>0</v>
      </c>
    </row>
    <row r="1732" spans="9:17" ht="13.9" x14ac:dyDescent="0.4">
      <c r="I1732" s="1073">
        <f t="shared" si="346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5"/>
        <v>0</v>
      </c>
      <c r="P1732" s="158"/>
      <c r="Q1732" s="1071">
        <f t="shared" si="347"/>
        <v>0</v>
      </c>
    </row>
    <row r="1733" spans="9:17" ht="13.9" x14ac:dyDescent="0.4">
      <c r="I1733" s="1073">
        <f t="shared" si="346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5"/>
        <v>0</v>
      </c>
      <c r="P1733" s="158"/>
      <c r="Q1733" s="1071">
        <f t="shared" si="347"/>
        <v>0</v>
      </c>
    </row>
    <row r="1734" spans="9:17" ht="13.9" x14ac:dyDescent="0.4">
      <c r="I1734" s="1073">
        <f t="shared" si="346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5"/>
        <v>0</v>
      </c>
      <c r="P1734" s="158"/>
      <c r="Q1734" s="1071">
        <f t="shared" si="347"/>
        <v>0</v>
      </c>
    </row>
    <row r="1735" spans="9:17" ht="13.9" x14ac:dyDescent="0.4">
      <c r="I1735" s="1073">
        <f t="shared" si="346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5"/>
        <v>0</v>
      </c>
      <c r="P1735" s="158"/>
      <c r="Q1735" s="1071">
        <f t="shared" si="347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8">M1742*N1742</f>
        <v>11.875</v>
      </c>
      <c r="P1742" s="160">
        <f t="shared" ref="P1742:P1748" si="349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50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8"/>
        <v>19.125</v>
      </c>
      <c r="P1743" s="1449">
        <f t="shared" si="349"/>
        <v>12</v>
      </c>
      <c r="Q1743" s="1071">
        <f>Q1742</f>
        <v>0</v>
      </c>
    </row>
    <row r="1744" spans="9:17" ht="13.9" x14ac:dyDescent="0.4">
      <c r="I1744" s="1073">
        <f t="shared" si="350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8"/>
        <v>2.4591015624999999</v>
      </c>
      <c r="P1744" s="1449">
        <f t="shared" si="349"/>
        <v>10.67</v>
      </c>
      <c r="Q1744" s="1071">
        <f t="shared" ref="Q1744:Q1755" si="351">Q1743</f>
        <v>0</v>
      </c>
    </row>
    <row r="1745" spans="9:17" ht="13.9" x14ac:dyDescent="0.4">
      <c r="I1745" s="1073">
        <f t="shared" si="350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8"/>
        <v>18.662109375</v>
      </c>
      <c r="P1745" s="160">
        <f t="shared" si="349"/>
        <v>3.25</v>
      </c>
      <c r="Q1745" s="1071">
        <f t="shared" si="351"/>
        <v>0</v>
      </c>
    </row>
    <row r="1746" spans="9:17" ht="13.9" x14ac:dyDescent="0.4">
      <c r="I1746" s="1073">
        <f t="shared" si="350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4.1904296874999997E-2</v>
      </c>
      <c r="N1746" s="157">
        <v>8</v>
      </c>
      <c r="O1746" s="82">
        <f t="shared" si="348"/>
        <v>0.33523437499999997</v>
      </c>
      <c r="P1746" s="160">
        <f t="shared" si="349"/>
        <v>8</v>
      </c>
      <c r="Q1746" s="1071">
        <f t="shared" si="351"/>
        <v>0</v>
      </c>
    </row>
    <row r="1747" spans="9:17" ht="13.9" x14ac:dyDescent="0.4">
      <c r="I1747" s="1073">
        <f t="shared" si="350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8"/>
        <v>4.3834375000000003</v>
      </c>
      <c r="P1747" s="160">
        <f t="shared" si="349"/>
        <v>16</v>
      </c>
      <c r="Q1747" s="1071">
        <f t="shared" si="351"/>
        <v>0</v>
      </c>
    </row>
    <row r="1748" spans="9:17" ht="13.9" x14ac:dyDescent="0.4">
      <c r="I1748" s="1073">
        <f t="shared" si="350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8"/>
        <v>15.75</v>
      </c>
      <c r="P1748" s="160">
        <f t="shared" si="349"/>
        <v>16</v>
      </c>
      <c r="Q1748" s="1071">
        <f t="shared" si="351"/>
        <v>0</v>
      </c>
    </row>
    <row r="1749" spans="9:17" ht="13.9" x14ac:dyDescent="0.4">
      <c r="I1749" s="1073">
        <f t="shared" si="350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8"/>
        <v>3.5</v>
      </c>
      <c r="P1749" s="160">
        <f>N1749*16</f>
        <v>12.8</v>
      </c>
      <c r="Q1749" s="1071">
        <f t="shared" si="351"/>
        <v>0</v>
      </c>
    </row>
    <row r="1750" spans="9:17" ht="13.9" x14ac:dyDescent="0.4">
      <c r="I1750" s="1073">
        <f t="shared" si="350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8"/>
        <v>0</v>
      </c>
      <c r="P1750" s="160"/>
      <c r="Q1750" s="1071">
        <f t="shared" si="351"/>
        <v>0</v>
      </c>
    </row>
    <row r="1751" spans="9:17" ht="13.9" x14ac:dyDescent="0.4">
      <c r="I1751" s="1073">
        <f t="shared" si="350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8"/>
        <v>0</v>
      </c>
      <c r="P1751" s="160"/>
      <c r="Q1751" s="1071">
        <f t="shared" si="351"/>
        <v>0</v>
      </c>
    </row>
    <row r="1752" spans="9:17" ht="13.9" x14ac:dyDescent="0.4">
      <c r="I1752" s="1073">
        <f t="shared" si="350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8"/>
        <v>0</v>
      </c>
      <c r="P1752" s="160"/>
      <c r="Q1752" s="1071">
        <f t="shared" si="351"/>
        <v>0</v>
      </c>
    </row>
    <row r="1753" spans="9:17" ht="13.9" x14ac:dyDescent="0.4">
      <c r="I1753" s="1073">
        <f t="shared" si="350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8"/>
        <v>0</v>
      </c>
      <c r="P1753" s="160"/>
      <c r="Q1753" s="1071">
        <f t="shared" si="351"/>
        <v>0</v>
      </c>
    </row>
    <row r="1754" spans="9:17" ht="13.9" x14ac:dyDescent="0.4">
      <c r="I1754" s="1073">
        <f t="shared" si="350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8"/>
        <v>0</v>
      </c>
      <c r="P1754" s="160"/>
      <c r="Q1754" s="1071">
        <f t="shared" si="351"/>
        <v>0</v>
      </c>
    </row>
    <row r="1755" spans="9:17" ht="13.9" x14ac:dyDescent="0.4">
      <c r="I1755" s="1073">
        <f t="shared" si="350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8"/>
        <v>0</v>
      </c>
      <c r="P1755" s="160"/>
      <c r="Q1755" s="1071">
        <f t="shared" si="351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76.089882812500008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2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3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2"/>
        <v>0</v>
      </c>
      <c r="P1761" s="160"/>
      <c r="Q1761" s="1071">
        <f>Q1760</f>
        <v>0</v>
      </c>
    </row>
    <row r="1762" spans="9:17" ht="13.9" x14ac:dyDescent="0.4">
      <c r="I1762" s="1073">
        <f t="shared" si="353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2"/>
        <v>0</v>
      </c>
      <c r="P1762" s="160"/>
      <c r="Q1762" s="1071">
        <f t="shared" ref="Q1762:Q1769" si="354">Q1761</f>
        <v>0</v>
      </c>
    </row>
    <row r="1763" spans="9:17" ht="13.9" x14ac:dyDescent="0.4">
      <c r="I1763" s="1073">
        <f t="shared" si="353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2"/>
        <v>0</v>
      </c>
      <c r="P1763" s="160"/>
      <c r="Q1763" s="1071">
        <f t="shared" si="354"/>
        <v>0</v>
      </c>
    </row>
    <row r="1764" spans="9:17" ht="13.9" x14ac:dyDescent="0.4">
      <c r="I1764" s="1073">
        <f t="shared" si="353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2"/>
        <v>0</v>
      </c>
      <c r="P1764" s="158"/>
      <c r="Q1764" s="1071">
        <f t="shared" si="354"/>
        <v>0</v>
      </c>
    </row>
    <row r="1765" spans="9:17" ht="13.9" x14ac:dyDescent="0.4">
      <c r="I1765" s="1073">
        <f t="shared" si="353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2"/>
        <v>0</v>
      </c>
      <c r="P1765" s="158"/>
      <c r="Q1765" s="1071">
        <f t="shared" si="354"/>
        <v>0</v>
      </c>
    </row>
    <row r="1766" spans="9:17" ht="13.9" x14ac:dyDescent="0.4">
      <c r="I1766" s="1073">
        <f t="shared" si="353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2"/>
        <v>0</v>
      </c>
      <c r="P1766" s="158"/>
      <c r="Q1766" s="1071">
        <f t="shared" si="354"/>
        <v>0</v>
      </c>
    </row>
    <row r="1767" spans="9:17" ht="13.9" x14ac:dyDescent="0.4">
      <c r="I1767" s="1073">
        <f t="shared" si="353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2"/>
        <v>0</v>
      </c>
      <c r="P1767" s="158"/>
      <c r="Q1767" s="1071">
        <f t="shared" si="354"/>
        <v>0</v>
      </c>
    </row>
    <row r="1768" spans="9:17" ht="13.9" x14ac:dyDescent="0.4">
      <c r="I1768" s="1073">
        <f t="shared" si="353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2"/>
        <v>0</v>
      </c>
      <c r="P1768" s="158"/>
      <c r="Q1768" s="1071">
        <f t="shared" si="354"/>
        <v>0</v>
      </c>
    </row>
    <row r="1769" spans="9:17" ht="13.9" x14ac:dyDescent="0.4">
      <c r="I1769" s="1073">
        <f t="shared" si="353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2"/>
        <v>0</v>
      </c>
      <c r="P1769" s="158"/>
      <c r="Q1769" s="1071">
        <f t="shared" si="354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Nematicide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Growth Regulator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5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6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5"/>
        <v>34.56</v>
      </c>
      <c r="P1781" s="160">
        <f>N1781*16</f>
        <v>24</v>
      </c>
      <c r="Q1781" s="1071">
        <f t="shared" ref="Q1781:Q1786" si="357">Q1780</f>
        <v>0</v>
      </c>
    </row>
    <row r="1782" spans="9:17" ht="13.9" x14ac:dyDescent="0.4">
      <c r="I1782" s="1073">
        <f t="shared" si="356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5"/>
        <v>8.9875000000000007</v>
      </c>
      <c r="P1782" s="160">
        <f>N1782*16</f>
        <v>32</v>
      </c>
      <c r="Q1782" s="1071">
        <f t="shared" si="357"/>
        <v>0</v>
      </c>
    </row>
    <row r="1783" spans="9:17" ht="13.9" x14ac:dyDescent="0.4">
      <c r="I1783" s="1073">
        <f t="shared" si="356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5"/>
        <v>0</v>
      </c>
      <c r="P1783" s="160"/>
      <c r="Q1783" s="1071">
        <f t="shared" si="357"/>
        <v>0</v>
      </c>
    </row>
    <row r="1784" spans="9:17" ht="13.9" x14ac:dyDescent="0.4">
      <c r="I1784" s="1073">
        <f t="shared" si="356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5"/>
        <v>0</v>
      </c>
      <c r="P1784" s="158"/>
      <c r="Q1784" s="1071">
        <f t="shared" si="357"/>
        <v>0</v>
      </c>
    </row>
    <row r="1785" spans="9:17" ht="13.9" x14ac:dyDescent="0.4">
      <c r="I1785" s="1073">
        <f t="shared" si="356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5"/>
        <v>0</v>
      </c>
      <c r="P1785" s="158"/>
      <c r="Q1785" s="1071">
        <f t="shared" si="357"/>
        <v>0</v>
      </c>
    </row>
    <row r="1786" spans="9:17" ht="13.9" x14ac:dyDescent="0.4">
      <c r="I1786" s="1073">
        <f t="shared" si="356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5"/>
        <v>0</v>
      </c>
      <c r="P1786" s="158"/>
      <c r="Q1786" s="1071">
        <f t="shared" si="357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Defoliant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8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9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8"/>
        <v>0</v>
      </c>
      <c r="P1792" s="160"/>
      <c r="Q1792" s="1071">
        <f t="shared" ref="Q1792:Q1797" si="360">Q1791</f>
        <v>0</v>
      </c>
    </row>
    <row r="1793" spans="9:17" ht="13.9" x14ac:dyDescent="0.4">
      <c r="I1793" s="1073">
        <f t="shared" si="359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8"/>
        <v>0</v>
      </c>
      <c r="P1793" s="160"/>
      <c r="Q1793" s="1071">
        <f t="shared" si="360"/>
        <v>0</v>
      </c>
    </row>
    <row r="1794" spans="9:17" ht="13.9" x14ac:dyDescent="0.4">
      <c r="I1794" s="1073">
        <f t="shared" si="359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8"/>
        <v>0</v>
      </c>
      <c r="P1794" s="160"/>
      <c r="Q1794" s="1071">
        <f t="shared" si="360"/>
        <v>0</v>
      </c>
    </row>
    <row r="1795" spans="9:17" ht="13.9" x14ac:dyDescent="0.4">
      <c r="I1795" s="1073">
        <f t="shared" si="359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8"/>
        <v>0</v>
      </c>
      <c r="P1795" s="160"/>
      <c r="Q1795" s="1071">
        <f t="shared" si="360"/>
        <v>0</v>
      </c>
    </row>
    <row r="1796" spans="9:17" ht="13.9" x14ac:dyDescent="0.4">
      <c r="I1796" s="1073">
        <f t="shared" si="359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8"/>
        <v>0</v>
      </c>
      <c r="P1796" s="158"/>
      <c r="Q1796" s="1071">
        <f t="shared" si="360"/>
        <v>0</v>
      </c>
    </row>
    <row r="1797" spans="9:17" ht="13.9" x14ac:dyDescent="0.4">
      <c r="I1797" s="1073">
        <f t="shared" si="359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8"/>
        <v>0</v>
      </c>
      <c r="P1797" s="158"/>
      <c r="Q1797" s="1071">
        <f t="shared" si="360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1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2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1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2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1"/>
        <v>2.4591015624999999</v>
      </c>
      <c r="P1806" s="1449">
        <f>N1806</f>
        <v>10.67</v>
      </c>
      <c r="Q1806" s="1071">
        <f t="shared" ref="Q1806:Q1817" si="363">Q1805</f>
        <v>0</v>
      </c>
    </row>
    <row r="1807" spans="9:17" ht="13.9" x14ac:dyDescent="0.4">
      <c r="I1807" s="1073">
        <f t="shared" si="362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1"/>
        <v>18.662109375</v>
      </c>
      <c r="P1807" s="160">
        <f>N1807*16</f>
        <v>52</v>
      </c>
      <c r="Q1807" s="1071">
        <f t="shared" si="363"/>
        <v>0</v>
      </c>
    </row>
    <row r="1808" spans="9:17" ht="13.9" x14ac:dyDescent="0.4">
      <c r="I1808" s="1073">
        <f t="shared" si="362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4.1904296874999997E-2</v>
      </c>
      <c r="N1808" s="157">
        <v>8</v>
      </c>
      <c r="O1808" s="82">
        <f t="shared" si="361"/>
        <v>0.33523437499999997</v>
      </c>
      <c r="P1808" s="160">
        <f>N1808*16</f>
        <v>128</v>
      </c>
      <c r="Q1808" s="1071">
        <f t="shared" si="363"/>
        <v>0</v>
      </c>
    </row>
    <row r="1809" spans="9:17" ht="13.9" x14ac:dyDescent="0.4">
      <c r="I1809" s="1073">
        <f t="shared" si="362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1"/>
        <v>4.3834375000000003</v>
      </c>
      <c r="P1809" s="160">
        <f>N1809*16</f>
        <v>256</v>
      </c>
      <c r="Q1809" s="1071">
        <f t="shared" si="363"/>
        <v>0</v>
      </c>
    </row>
    <row r="1810" spans="9:17" ht="13.9" x14ac:dyDescent="0.4">
      <c r="I1810" s="1073">
        <f t="shared" si="362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1"/>
        <v>15.75</v>
      </c>
      <c r="P1810" s="160"/>
      <c r="Q1810" s="1071">
        <f t="shared" si="363"/>
        <v>0</v>
      </c>
    </row>
    <row r="1811" spans="9:17" ht="13.9" x14ac:dyDescent="0.4">
      <c r="I1811" s="1073">
        <f t="shared" si="362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1"/>
        <v>3.5</v>
      </c>
      <c r="P1811" s="160"/>
      <c r="Q1811" s="1071">
        <f t="shared" si="363"/>
        <v>0</v>
      </c>
    </row>
    <row r="1812" spans="9:17" ht="13.9" x14ac:dyDescent="0.4">
      <c r="I1812" s="1073">
        <f t="shared" si="362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1"/>
        <v>0</v>
      </c>
      <c r="P1812" s="160"/>
      <c r="Q1812" s="1071">
        <f t="shared" si="363"/>
        <v>0</v>
      </c>
    </row>
    <row r="1813" spans="9:17" ht="13.9" x14ac:dyDescent="0.4">
      <c r="I1813" s="1073">
        <f t="shared" si="362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1"/>
        <v>0</v>
      </c>
      <c r="P1813" s="160"/>
      <c r="Q1813" s="1071">
        <f t="shared" si="363"/>
        <v>0</v>
      </c>
    </row>
    <row r="1814" spans="9:17" ht="13.9" x14ac:dyDescent="0.4">
      <c r="I1814" s="1073">
        <f t="shared" si="362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1"/>
        <v>0</v>
      </c>
      <c r="P1814" s="160"/>
      <c r="Q1814" s="1071">
        <f t="shared" si="363"/>
        <v>0</v>
      </c>
    </row>
    <row r="1815" spans="9:17" ht="13.9" x14ac:dyDescent="0.4">
      <c r="I1815" s="1073">
        <f t="shared" si="362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1"/>
        <v>0</v>
      </c>
      <c r="P1815" s="160"/>
      <c r="Q1815" s="1071">
        <f t="shared" si="363"/>
        <v>0</v>
      </c>
    </row>
    <row r="1816" spans="9:17" ht="13.9" x14ac:dyDescent="0.4">
      <c r="I1816" s="1073">
        <f t="shared" si="362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1"/>
        <v>0</v>
      </c>
      <c r="P1816" s="160"/>
      <c r="Q1816" s="1071">
        <f t="shared" si="363"/>
        <v>0</v>
      </c>
    </row>
    <row r="1817" spans="9:17" ht="13.9" x14ac:dyDescent="0.4">
      <c r="I1817" s="1073">
        <f t="shared" si="362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1"/>
        <v>0</v>
      </c>
      <c r="P1817" s="160"/>
      <c r="Q1817" s="1071">
        <f t="shared" si="363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76.089882812500008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4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5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4"/>
        <v>0</v>
      </c>
      <c r="P1823" s="160"/>
      <c r="Q1823" s="1071">
        <f>Q1822</f>
        <v>0</v>
      </c>
    </row>
    <row r="1824" spans="9:17" ht="13.9" x14ac:dyDescent="0.4">
      <c r="I1824" s="1073">
        <f t="shared" si="365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4"/>
        <v>0</v>
      </c>
      <c r="P1824" s="160"/>
      <c r="Q1824" s="1071">
        <f t="shared" ref="Q1824:Q1831" si="366">Q1823</f>
        <v>0</v>
      </c>
    </row>
    <row r="1825" spans="9:17" ht="13.9" x14ac:dyDescent="0.4">
      <c r="I1825" s="1073">
        <f t="shared" si="365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4"/>
        <v>0</v>
      </c>
      <c r="P1825" s="160"/>
      <c r="Q1825" s="1071">
        <f t="shared" si="366"/>
        <v>0</v>
      </c>
    </row>
    <row r="1826" spans="9:17" ht="13.9" x14ac:dyDescent="0.4">
      <c r="I1826" s="1073">
        <f t="shared" si="365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4"/>
        <v>0</v>
      </c>
      <c r="P1826" s="158"/>
      <c r="Q1826" s="1071">
        <f t="shared" si="366"/>
        <v>0</v>
      </c>
    </row>
    <row r="1827" spans="9:17" ht="13.9" x14ac:dyDescent="0.4">
      <c r="I1827" s="1073">
        <f t="shared" si="365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4"/>
        <v>0</v>
      </c>
      <c r="P1827" s="158"/>
      <c r="Q1827" s="1071">
        <f t="shared" si="366"/>
        <v>0</v>
      </c>
    </row>
    <row r="1828" spans="9:17" ht="13.9" x14ac:dyDescent="0.4">
      <c r="I1828" s="1073">
        <f t="shared" si="365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4"/>
        <v>0</v>
      </c>
      <c r="P1828" s="158"/>
      <c r="Q1828" s="1071">
        <f t="shared" si="366"/>
        <v>0</v>
      </c>
    </row>
    <row r="1829" spans="9:17" ht="13.9" x14ac:dyDescent="0.4">
      <c r="I1829" s="1073">
        <f t="shared" si="365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4"/>
        <v>0</v>
      </c>
      <c r="P1829" s="158"/>
      <c r="Q1829" s="1071">
        <f t="shared" si="366"/>
        <v>0</v>
      </c>
    </row>
    <row r="1830" spans="9:17" ht="13.9" x14ac:dyDescent="0.4">
      <c r="I1830" s="1073">
        <f t="shared" si="365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4"/>
        <v>0</v>
      </c>
      <c r="P1830" s="158"/>
      <c r="Q1830" s="1071">
        <f t="shared" si="366"/>
        <v>0</v>
      </c>
    </row>
    <row r="1831" spans="9:17" ht="13.9" x14ac:dyDescent="0.4">
      <c r="I1831" s="1073">
        <f t="shared" si="365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4"/>
        <v>0</v>
      </c>
      <c r="P1831" s="158"/>
      <c r="Q1831" s="1071">
        <f t="shared" si="366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Nematicide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Growth Regulator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7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8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7"/>
        <v>34.56</v>
      </c>
      <c r="P1843" s="160">
        <f>N1843*16</f>
        <v>24</v>
      </c>
      <c r="Q1843" s="1071">
        <f t="shared" ref="Q1843:Q1848" si="369">Q1842</f>
        <v>0</v>
      </c>
    </row>
    <row r="1844" spans="9:17" ht="13.9" x14ac:dyDescent="0.4">
      <c r="I1844" s="1073">
        <f t="shared" si="368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7"/>
        <v>8.9875000000000007</v>
      </c>
      <c r="P1844" s="160">
        <f>N1844*16</f>
        <v>32</v>
      </c>
      <c r="Q1844" s="1071">
        <f t="shared" si="369"/>
        <v>0</v>
      </c>
    </row>
    <row r="1845" spans="9:17" ht="13.9" x14ac:dyDescent="0.4">
      <c r="I1845" s="1073">
        <f t="shared" si="368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7"/>
        <v>0</v>
      </c>
      <c r="P1845" s="160">
        <f>N1845*16</f>
        <v>0</v>
      </c>
      <c r="Q1845" s="1071">
        <f t="shared" si="369"/>
        <v>0</v>
      </c>
    </row>
    <row r="1846" spans="9:17" ht="13.9" x14ac:dyDescent="0.4">
      <c r="I1846" s="1073">
        <f t="shared" si="368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7"/>
        <v>0</v>
      </c>
      <c r="P1846" s="158"/>
      <c r="Q1846" s="1071">
        <f t="shared" si="369"/>
        <v>0</v>
      </c>
    </row>
    <row r="1847" spans="9:17" ht="13.9" x14ac:dyDescent="0.4">
      <c r="I1847" s="1073">
        <f t="shared" si="368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7"/>
        <v>0</v>
      </c>
      <c r="P1847" s="158"/>
      <c r="Q1847" s="1071">
        <f t="shared" si="369"/>
        <v>0</v>
      </c>
    </row>
    <row r="1848" spans="9:17" ht="13.9" x14ac:dyDescent="0.4">
      <c r="I1848" s="1073">
        <f t="shared" si="368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7"/>
        <v>0</v>
      </c>
      <c r="P1848" s="158"/>
      <c r="Q1848" s="1071">
        <f t="shared" si="369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Defoliant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70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1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70"/>
        <v>0</v>
      </c>
      <c r="P1854" s="160"/>
      <c r="Q1854" s="1071">
        <f t="shared" ref="Q1854:Q1859" si="372">Q1853</f>
        <v>0</v>
      </c>
    </row>
    <row r="1855" spans="9:17" ht="13.9" x14ac:dyDescent="0.4">
      <c r="I1855" s="1073">
        <f t="shared" si="371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70"/>
        <v>0</v>
      </c>
      <c r="P1855" s="160"/>
      <c r="Q1855" s="1071">
        <f t="shared" si="372"/>
        <v>0</v>
      </c>
    </row>
    <row r="1856" spans="9:17" ht="13.9" x14ac:dyDescent="0.4">
      <c r="I1856" s="1073">
        <f t="shared" si="371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70"/>
        <v>0</v>
      </c>
      <c r="P1856" s="160"/>
      <c r="Q1856" s="1071">
        <f t="shared" si="372"/>
        <v>0</v>
      </c>
    </row>
    <row r="1857" spans="9:17" ht="13.9" x14ac:dyDescent="0.4">
      <c r="I1857" s="1073">
        <f t="shared" si="371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70"/>
        <v>0</v>
      </c>
      <c r="P1857" s="160"/>
      <c r="Q1857" s="1071">
        <f t="shared" si="372"/>
        <v>0</v>
      </c>
    </row>
    <row r="1858" spans="9:17" ht="13.9" x14ac:dyDescent="0.4">
      <c r="I1858" s="1073">
        <f t="shared" si="371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70"/>
        <v>0</v>
      </c>
      <c r="P1858" s="158"/>
      <c r="Q1858" s="1071">
        <f t="shared" si="372"/>
        <v>0</v>
      </c>
    </row>
    <row r="1859" spans="9:17" ht="13.9" x14ac:dyDescent="0.4">
      <c r="I1859" s="1073">
        <f t="shared" si="371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70"/>
        <v>0</v>
      </c>
      <c r="P1859" s="158"/>
      <c r="Q1859" s="1071">
        <f t="shared" si="372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3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4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3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4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3"/>
        <v>2.4591015624999999</v>
      </c>
      <c r="P1868" s="1449">
        <f>N1868</f>
        <v>10.67</v>
      </c>
      <c r="Q1868" s="1071">
        <f t="shared" ref="Q1868:Q1879" si="375">Q1867</f>
        <v>0</v>
      </c>
    </row>
    <row r="1869" spans="9:17" ht="13.9" x14ac:dyDescent="0.4">
      <c r="I1869" s="1073">
        <f t="shared" si="374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3"/>
        <v>18.662109375</v>
      </c>
      <c r="P1869" s="160">
        <f>N1869*16</f>
        <v>52</v>
      </c>
      <c r="Q1869" s="1071">
        <f t="shared" si="375"/>
        <v>0</v>
      </c>
    </row>
    <row r="1870" spans="9:17" ht="13.9" x14ac:dyDescent="0.4">
      <c r="I1870" s="1073">
        <f t="shared" si="374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4.1904296874999997E-2</v>
      </c>
      <c r="N1870" s="157">
        <v>8</v>
      </c>
      <c r="O1870" s="82">
        <f t="shared" si="373"/>
        <v>0.33523437499999997</v>
      </c>
      <c r="P1870" s="160">
        <f>N1870*16</f>
        <v>128</v>
      </c>
      <c r="Q1870" s="1071">
        <f t="shared" si="375"/>
        <v>0</v>
      </c>
    </row>
    <row r="1871" spans="9:17" ht="13.9" x14ac:dyDescent="0.4">
      <c r="I1871" s="1073">
        <f t="shared" si="374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3"/>
        <v>4.3834375000000003</v>
      </c>
      <c r="P1871" s="160">
        <f>N1871*16</f>
        <v>256</v>
      </c>
      <c r="Q1871" s="1071">
        <f t="shared" si="375"/>
        <v>0</v>
      </c>
    </row>
    <row r="1872" spans="9:17" ht="13.9" x14ac:dyDescent="0.4">
      <c r="I1872" s="1073">
        <f t="shared" si="374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3"/>
        <v>15.75</v>
      </c>
      <c r="P1872" s="160"/>
      <c r="Q1872" s="1071">
        <f t="shared" si="375"/>
        <v>0</v>
      </c>
    </row>
    <row r="1873" spans="9:17" ht="13.9" x14ac:dyDescent="0.4">
      <c r="I1873" s="1073">
        <f t="shared" si="374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3"/>
        <v>3.5</v>
      </c>
      <c r="P1873" s="160"/>
      <c r="Q1873" s="1071">
        <f t="shared" si="375"/>
        <v>0</v>
      </c>
    </row>
    <row r="1874" spans="9:17" ht="13.9" x14ac:dyDescent="0.4">
      <c r="I1874" s="1073">
        <f t="shared" si="374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3"/>
        <v>0</v>
      </c>
      <c r="P1874" s="160"/>
      <c r="Q1874" s="1071">
        <f t="shared" si="375"/>
        <v>0</v>
      </c>
    </row>
    <row r="1875" spans="9:17" ht="13.9" x14ac:dyDescent="0.4">
      <c r="I1875" s="1073">
        <f t="shared" si="374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3"/>
        <v>0</v>
      </c>
      <c r="P1875" s="160"/>
      <c r="Q1875" s="1071">
        <f t="shared" si="375"/>
        <v>0</v>
      </c>
    </row>
    <row r="1876" spans="9:17" ht="13.9" x14ac:dyDescent="0.4">
      <c r="I1876" s="1073">
        <f t="shared" si="374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3"/>
        <v>0</v>
      </c>
      <c r="P1876" s="160"/>
      <c r="Q1876" s="1071">
        <f t="shared" si="375"/>
        <v>0</v>
      </c>
    </row>
    <row r="1877" spans="9:17" ht="13.9" x14ac:dyDescent="0.4">
      <c r="I1877" s="1073">
        <f t="shared" si="374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3"/>
        <v>0</v>
      </c>
      <c r="P1877" s="160"/>
      <c r="Q1877" s="1071">
        <f t="shared" si="375"/>
        <v>0</v>
      </c>
    </row>
    <row r="1878" spans="9:17" ht="13.9" x14ac:dyDescent="0.4">
      <c r="I1878" s="1073">
        <f t="shared" si="374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3"/>
        <v>0</v>
      </c>
      <c r="P1878" s="160"/>
      <c r="Q1878" s="1071">
        <f t="shared" si="375"/>
        <v>0</v>
      </c>
    </row>
    <row r="1879" spans="9:17" ht="13.9" x14ac:dyDescent="0.4">
      <c r="I1879" s="1073">
        <f t="shared" si="374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3"/>
        <v>0</v>
      </c>
      <c r="P1879" s="160"/>
      <c r="Q1879" s="1071">
        <f t="shared" si="375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76.089882812500008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6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7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6"/>
        <v>0</v>
      </c>
      <c r="P1885" s="160"/>
      <c r="Q1885" s="1071">
        <f>Q1884</f>
        <v>0</v>
      </c>
    </row>
    <row r="1886" spans="9:17" ht="13.9" x14ac:dyDescent="0.4">
      <c r="I1886" s="1073">
        <f t="shared" si="377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6"/>
        <v>0</v>
      </c>
      <c r="P1886" s="160"/>
      <c r="Q1886" s="1071">
        <f t="shared" ref="Q1886:Q1893" si="378">Q1885</f>
        <v>0</v>
      </c>
    </row>
    <row r="1887" spans="9:17" ht="13.9" x14ac:dyDescent="0.4">
      <c r="I1887" s="1073">
        <f t="shared" si="377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6"/>
        <v>0</v>
      </c>
      <c r="P1887" s="160"/>
      <c r="Q1887" s="1071">
        <f t="shared" si="378"/>
        <v>0</v>
      </c>
    </row>
    <row r="1888" spans="9:17" ht="13.9" x14ac:dyDescent="0.4">
      <c r="I1888" s="1073">
        <f t="shared" si="377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6"/>
        <v>0</v>
      </c>
      <c r="P1888" s="158"/>
      <c r="Q1888" s="1071">
        <f t="shared" si="378"/>
        <v>0</v>
      </c>
    </row>
    <row r="1889" spans="9:17" ht="13.9" x14ac:dyDescent="0.4">
      <c r="I1889" s="1073">
        <f t="shared" si="377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6"/>
        <v>0</v>
      </c>
      <c r="P1889" s="158"/>
      <c r="Q1889" s="1071">
        <f t="shared" si="378"/>
        <v>0</v>
      </c>
    </row>
    <row r="1890" spans="9:17" ht="13.9" x14ac:dyDescent="0.4">
      <c r="I1890" s="1073">
        <f t="shared" si="377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6"/>
        <v>0</v>
      </c>
      <c r="P1890" s="158"/>
      <c r="Q1890" s="1071">
        <f t="shared" si="378"/>
        <v>0</v>
      </c>
    </row>
    <row r="1891" spans="9:17" ht="13.9" x14ac:dyDescent="0.4">
      <c r="I1891" s="1073">
        <f t="shared" si="377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6"/>
        <v>0</v>
      </c>
      <c r="P1891" s="158"/>
      <c r="Q1891" s="1071">
        <f t="shared" si="378"/>
        <v>0</v>
      </c>
    </row>
    <row r="1892" spans="9:17" ht="13.9" x14ac:dyDescent="0.4">
      <c r="I1892" s="1073">
        <f t="shared" si="377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6"/>
        <v>0</v>
      </c>
      <c r="P1892" s="158"/>
      <c r="Q1892" s="1071">
        <f t="shared" si="378"/>
        <v>0</v>
      </c>
    </row>
    <row r="1893" spans="9:17" ht="13.9" x14ac:dyDescent="0.4">
      <c r="I1893" s="1073">
        <f t="shared" si="377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6"/>
        <v>0</v>
      </c>
      <c r="P1893" s="158"/>
      <c r="Q1893" s="1071">
        <f t="shared" si="378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Nematicide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Growth Regulator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9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80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9"/>
        <v>34.56</v>
      </c>
      <c r="P1905" s="160">
        <f>N1905*16</f>
        <v>24</v>
      </c>
      <c r="Q1905" s="1071">
        <f t="shared" ref="Q1905:Q1910" si="381">Q1904</f>
        <v>0</v>
      </c>
    </row>
    <row r="1906" spans="9:17" ht="13.9" x14ac:dyDescent="0.4">
      <c r="I1906" s="1073">
        <f t="shared" si="380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9"/>
        <v>8.9875000000000007</v>
      </c>
      <c r="P1906" s="160">
        <f>N1906*16</f>
        <v>32</v>
      </c>
      <c r="Q1906" s="1071">
        <f t="shared" si="381"/>
        <v>0</v>
      </c>
    </row>
    <row r="1907" spans="9:17" ht="13.9" x14ac:dyDescent="0.4">
      <c r="I1907" s="1073">
        <f t="shared" si="380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9"/>
        <v>0</v>
      </c>
      <c r="P1907" s="160">
        <f>N1907*16</f>
        <v>0</v>
      </c>
      <c r="Q1907" s="1071">
        <f t="shared" si="381"/>
        <v>0</v>
      </c>
    </row>
    <row r="1908" spans="9:17" ht="13.9" x14ac:dyDescent="0.4">
      <c r="I1908" s="1073">
        <f t="shared" si="380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9"/>
        <v>0</v>
      </c>
      <c r="P1908" s="158"/>
      <c r="Q1908" s="1071">
        <f t="shared" si="381"/>
        <v>0</v>
      </c>
    </row>
    <row r="1909" spans="9:17" ht="13.9" x14ac:dyDescent="0.4">
      <c r="I1909" s="1073">
        <f t="shared" si="380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9"/>
        <v>0</v>
      </c>
      <c r="P1909" s="158"/>
      <c r="Q1909" s="1071">
        <f t="shared" si="381"/>
        <v>0</v>
      </c>
    </row>
    <row r="1910" spans="9:17" ht="13.9" x14ac:dyDescent="0.4">
      <c r="I1910" s="1073">
        <f t="shared" si="380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9"/>
        <v>0</v>
      </c>
      <c r="P1910" s="158"/>
      <c r="Q1910" s="1071">
        <f t="shared" si="381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Defoliant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2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3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2"/>
        <v>0</v>
      </c>
      <c r="P1916" s="160"/>
      <c r="Q1916" s="1071">
        <f t="shared" ref="Q1916:Q1921" si="384">Q1915</f>
        <v>0</v>
      </c>
    </row>
    <row r="1917" spans="9:17" ht="13.9" x14ac:dyDescent="0.4">
      <c r="I1917" s="1073">
        <f t="shared" si="383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2"/>
        <v>0</v>
      </c>
      <c r="P1917" s="160"/>
      <c r="Q1917" s="1071">
        <f t="shared" si="384"/>
        <v>0</v>
      </c>
    </row>
    <row r="1918" spans="9:17" ht="13.9" x14ac:dyDescent="0.4">
      <c r="I1918" s="1073">
        <f t="shared" si="383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2"/>
        <v>0</v>
      </c>
      <c r="P1918" s="160"/>
      <c r="Q1918" s="1071">
        <f t="shared" si="384"/>
        <v>0</v>
      </c>
    </row>
    <row r="1919" spans="9:17" ht="13.9" x14ac:dyDescent="0.4">
      <c r="I1919" s="1073">
        <f t="shared" si="383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2"/>
        <v>0</v>
      </c>
      <c r="P1919" s="160"/>
      <c r="Q1919" s="1071">
        <f t="shared" si="384"/>
        <v>0</v>
      </c>
    </row>
    <row r="1920" spans="9:17" ht="13.9" x14ac:dyDescent="0.4">
      <c r="I1920" s="1073">
        <f t="shared" si="383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2"/>
        <v>0</v>
      </c>
      <c r="P1920" s="158"/>
      <c r="Q1920" s="1071">
        <f t="shared" si="384"/>
        <v>0</v>
      </c>
    </row>
    <row r="1921" spans="9:17" ht="13.9" x14ac:dyDescent="0.4">
      <c r="I1921" s="1073">
        <f t="shared" si="383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2"/>
        <v>0</v>
      </c>
      <c r="P1921" s="158"/>
      <c r="Q1921" s="1071">
        <f t="shared" si="384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5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6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5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6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5"/>
        <v>6.3570000000000002</v>
      </c>
      <c r="P1930" s="160">
        <f>N1930*16</f>
        <v>20.8</v>
      </c>
      <c r="Q1930" s="1071">
        <f t="shared" ref="Q1930:Q1941" si="387">Q1929</f>
        <v>0</v>
      </c>
    </row>
    <row r="1931" spans="9:17" ht="13.9" x14ac:dyDescent="0.4">
      <c r="I1931" s="1073">
        <f t="shared" si="386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5"/>
        <v>8.2249999999999996</v>
      </c>
      <c r="P1931" s="160">
        <f>N1931*32</f>
        <v>64</v>
      </c>
      <c r="Q1931" s="1071">
        <f t="shared" si="387"/>
        <v>0</v>
      </c>
    </row>
    <row r="1932" spans="9:17" ht="13.9" x14ac:dyDescent="0.4">
      <c r="I1932" s="1073">
        <f t="shared" si="386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5"/>
        <v>9.5</v>
      </c>
      <c r="P1932" s="1449">
        <f>N1932</f>
        <v>0.5</v>
      </c>
      <c r="Q1932" s="1071">
        <f t="shared" si="387"/>
        <v>0</v>
      </c>
    </row>
    <row r="1933" spans="9:17" ht="13.9" x14ac:dyDescent="0.4">
      <c r="I1933" s="1073">
        <f t="shared" si="386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5"/>
        <v>0</v>
      </c>
      <c r="P1933" s="160"/>
      <c r="Q1933" s="1071">
        <f t="shared" si="387"/>
        <v>0</v>
      </c>
    </row>
    <row r="1934" spans="9:17" ht="13.9" x14ac:dyDescent="0.4">
      <c r="I1934" s="1073">
        <f t="shared" si="386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5"/>
        <v>0</v>
      </c>
      <c r="P1934" s="160"/>
      <c r="Q1934" s="1071">
        <f t="shared" si="387"/>
        <v>0</v>
      </c>
    </row>
    <row r="1935" spans="9:17" ht="13.9" x14ac:dyDescent="0.4">
      <c r="I1935" s="1073">
        <f t="shared" si="386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5"/>
        <v>0</v>
      </c>
      <c r="P1935" s="160"/>
      <c r="Q1935" s="1071">
        <f t="shared" si="387"/>
        <v>0</v>
      </c>
    </row>
    <row r="1936" spans="9:17" ht="13.9" x14ac:dyDescent="0.4">
      <c r="I1936" s="1073">
        <f t="shared" si="386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5"/>
        <v>0</v>
      </c>
      <c r="P1936" s="160"/>
      <c r="Q1936" s="1071">
        <f t="shared" si="387"/>
        <v>0</v>
      </c>
    </row>
    <row r="1937" spans="9:17" ht="13.9" x14ac:dyDescent="0.4">
      <c r="I1937" s="1073">
        <f t="shared" si="386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5"/>
        <v>0</v>
      </c>
      <c r="P1937" s="160"/>
      <c r="Q1937" s="1071">
        <f t="shared" si="387"/>
        <v>0</v>
      </c>
    </row>
    <row r="1938" spans="9:17" ht="13.9" x14ac:dyDescent="0.4">
      <c r="I1938" s="1073">
        <f t="shared" si="386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5"/>
        <v>0</v>
      </c>
      <c r="P1938" s="160"/>
      <c r="Q1938" s="1071">
        <f t="shared" si="387"/>
        <v>0</v>
      </c>
    </row>
    <row r="1939" spans="9:17" ht="13.9" x14ac:dyDescent="0.4">
      <c r="I1939" s="1073">
        <f t="shared" si="386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5"/>
        <v>0</v>
      </c>
      <c r="P1939" s="160"/>
      <c r="Q1939" s="1071">
        <f t="shared" si="387"/>
        <v>0</v>
      </c>
    </row>
    <row r="1940" spans="9:17" ht="13.9" x14ac:dyDescent="0.4">
      <c r="I1940" s="1073">
        <f t="shared" si="386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5"/>
        <v>0</v>
      </c>
      <c r="P1940" s="160"/>
      <c r="Q1940" s="1071">
        <f t="shared" si="387"/>
        <v>0</v>
      </c>
    </row>
    <row r="1941" spans="9:17" ht="13.9" x14ac:dyDescent="0.4">
      <c r="I1941" s="1073">
        <f t="shared" si="386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5"/>
        <v>0</v>
      </c>
      <c r="P1941" s="160"/>
      <c r="Q1941" s="1071">
        <f t="shared" si="387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8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9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8"/>
        <v>0</v>
      </c>
      <c r="P1947" s="160"/>
      <c r="Q1947" s="1071">
        <f>Q1946</f>
        <v>0</v>
      </c>
    </row>
    <row r="1948" spans="9:17" ht="13.9" x14ac:dyDescent="0.4">
      <c r="I1948" s="1073">
        <f t="shared" si="389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8"/>
        <v>0</v>
      </c>
      <c r="P1948" s="160"/>
      <c r="Q1948" s="1071">
        <f t="shared" ref="Q1948:Q1955" si="390">Q1947</f>
        <v>0</v>
      </c>
    </row>
    <row r="1949" spans="9:17" ht="13.9" x14ac:dyDescent="0.4">
      <c r="I1949" s="1073">
        <f t="shared" si="389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8"/>
        <v>0</v>
      </c>
      <c r="P1949" s="160"/>
      <c r="Q1949" s="1071">
        <f t="shared" si="390"/>
        <v>0</v>
      </c>
    </row>
    <row r="1950" spans="9:17" ht="13.9" x14ac:dyDescent="0.4">
      <c r="I1950" s="1073">
        <f t="shared" si="389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8"/>
        <v>0</v>
      </c>
      <c r="P1950" s="158"/>
      <c r="Q1950" s="1071">
        <f t="shared" si="390"/>
        <v>0</v>
      </c>
    </row>
    <row r="1951" spans="9:17" ht="13.9" x14ac:dyDescent="0.4">
      <c r="I1951" s="1073">
        <f t="shared" si="389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8"/>
        <v>0</v>
      </c>
      <c r="P1951" s="158"/>
      <c r="Q1951" s="1071">
        <f t="shared" si="390"/>
        <v>0</v>
      </c>
    </row>
    <row r="1952" spans="9:17" ht="13.9" x14ac:dyDescent="0.4">
      <c r="I1952" s="1073">
        <f t="shared" si="389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8"/>
        <v>0</v>
      </c>
      <c r="P1952" s="158"/>
      <c r="Q1952" s="1071">
        <f t="shared" si="390"/>
        <v>0</v>
      </c>
    </row>
    <row r="1953" spans="9:17" ht="13.9" x14ac:dyDescent="0.4">
      <c r="I1953" s="1073">
        <f t="shared" si="389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8"/>
        <v>0</v>
      </c>
      <c r="P1953" s="158"/>
      <c r="Q1953" s="1071">
        <f t="shared" si="390"/>
        <v>0</v>
      </c>
    </row>
    <row r="1954" spans="9:17" ht="13.9" x14ac:dyDescent="0.4">
      <c r="I1954" s="1073">
        <f t="shared" si="389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8"/>
        <v>0</v>
      </c>
      <c r="P1954" s="158"/>
      <c r="Q1954" s="1071">
        <f t="shared" si="390"/>
        <v>0</v>
      </c>
    </row>
    <row r="1955" spans="9:17" ht="13.9" x14ac:dyDescent="0.4">
      <c r="I1955" s="1073">
        <f t="shared" si="389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8"/>
        <v>0</v>
      </c>
      <c r="P1955" s="158"/>
      <c r="Q1955" s="1071">
        <f t="shared" si="390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Nematicide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Growth Regulator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1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2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1"/>
        <v>0</v>
      </c>
      <c r="P1967" s="160"/>
      <c r="Q1967" s="1071">
        <f t="shared" ref="Q1967:Q1972" si="393">Q1966</f>
        <v>0</v>
      </c>
    </row>
    <row r="1968" spans="9:17" ht="13.9" x14ac:dyDescent="0.4">
      <c r="I1968" s="1073">
        <f t="shared" si="392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1"/>
        <v>0</v>
      </c>
      <c r="P1968" s="160"/>
      <c r="Q1968" s="1071">
        <f t="shared" si="393"/>
        <v>0</v>
      </c>
    </row>
    <row r="1969" spans="9:17" ht="13.9" x14ac:dyDescent="0.4">
      <c r="I1969" s="1073">
        <f t="shared" si="392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1"/>
        <v>0</v>
      </c>
      <c r="P1969" s="158"/>
      <c r="Q1969" s="1071">
        <f t="shared" si="393"/>
        <v>0</v>
      </c>
    </row>
    <row r="1970" spans="9:17" ht="13.9" x14ac:dyDescent="0.4">
      <c r="I1970" s="1073">
        <f t="shared" si="392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1"/>
        <v>0</v>
      </c>
      <c r="P1970" s="158"/>
      <c r="Q1970" s="1071">
        <f t="shared" si="393"/>
        <v>0</v>
      </c>
    </row>
    <row r="1971" spans="9:17" ht="13.9" x14ac:dyDescent="0.4">
      <c r="I1971" s="1073">
        <f t="shared" si="392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1"/>
        <v>0</v>
      </c>
      <c r="P1971" s="158"/>
      <c r="Q1971" s="1071">
        <f t="shared" si="393"/>
        <v>0</v>
      </c>
    </row>
    <row r="1972" spans="9:17" ht="13.9" x14ac:dyDescent="0.4">
      <c r="I1972" s="1073">
        <f t="shared" si="392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1"/>
        <v>0</v>
      </c>
      <c r="P1972" s="158"/>
      <c r="Q1972" s="1071">
        <f t="shared" si="393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Defoliant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4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5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4"/>
        <v>0</v>
      </c>
      <c r="P1978" s="160"/>
      <c r="Q1978" s="1071">
        <f t="shared" ref="Q1978:Q1983" si="396">Q1977</f>
        <v>0</v>
      </c>
    </row>
    <row r="1979" spans="9:17" ht="13.9" x14ac:dyDescent="0.4">
      <c r="I1979" s="1073">
        <f t="shared" si="395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4"/>
        <v>0</v>
      </c>
      <c r="P1979" s="160"/>
      <c r="Q1979" s="1071">
        <f t="shared" si="396"/>
        <v>0</v>
      </c>
    </row>
    <row r="1980" spans="9:17" ht="13.9" x14ac:dyDescent="0.4">
      <c r="I1980" s="1073">
        <f t="shared" si="395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4"/>
        <v>0</v>
      </c>
      <c r="P1980" s="160"/>
      <c r="Q1980" s="1071">
        <f t="shared" si="396"/>
        <v>0</v>
      </c>
    </row>
    <row r="1981" spans="9:17" ht="13.9" x14ac:dyDescent="0.4">
      <c r="I1981" s="1073">
        <f t="shared" si="395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4"/>
        <v>0</v>
      </c>
      <c r="P1981" s="160"/>
      <c r="Q1981" s="1071">
        <f t="shared" si="396"/>
        <v>0</v>
      </c>
    </row>
    <row r="1982" spans="9:17" ht="13.9" x14ac:dyDescent="0.4">
      <c r="I1982" s="1073">
        <f t="shared" si="395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4"/>
        <v>0</v>
      </c>
      <c r="P1982" s="158"/>
      <c r="Q1982" s="1071">
        <f t="shared" si="396"/>
        <v>0</v>
      </c>
    </row>
    <row r="1983" spans="9:17" ht="13.9" x14ac:dyDescent="0.4">
      <c r="I1983" s="1073">
        <f t="shared" si="395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4"/>
        <v>0</v>
      </c>
      <c r="P1983" s="158"/>
      <c r="Q1983" s="1071">
        <f t="shared" si="396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7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8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7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8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7"/>
        <v>6.3570000000000002</v>
      </c>
      <c r="P1992" s="160">
        <f>N1992*16</f>
        <v>20.8</v>
      </c>
      <c r="Q1992" s="1071">
        <f t="shared" ref="Q1992:Q2003" si="399">Q1991</f>
        <v>0</v>
      </c>
    </row>
    <row r="1993" spans="9:17" ht="13.9" x14ac:dyDescent="0.4">
      <c r="I1993" s="1073">
        <f t="shared" si="398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7"/>
        <v>8.2249999999999996</v>
      </c>
      <c r="P1993" s="160">
        <f>N1993*32</f>
        <v>64</v>
      </c>
      <c r="Q1993" s="1071">
        <f t="shared" si="399"/>
        <v>0</v>
      </c>
    </row>
    <row r="1994" spans="9:17" ht="13.9" x14ac:dyDescent="0.4">
      <c r="I1994" s="1073">
        <f t="shared" si="398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7"/>
        <v>9.5</v>
      </c>
      <c r="P1994" s="1449">
        <f>N1994</f>
        <v>0.5</v>
      </c>
      <c r="Q1994" s="1071">
        <f t="shared" si="399"/>
        <v>0</v>
      </c>
    </row>
    <row r="1995" spans="9:17" ht="13.9" x14ac:dyDescent="0.4">
      <c r="I1995" s="1073">
        <f t="shared" si="398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7"/>
        <v>0</v>
      </c>
      <c r="P1995" s="160"/>
      <c r="Q1995" s="1071">
        <f t="shared" si="399"/>
        <v>0</v>
      </c>
    </row>
    <row r="1996" spans="9:17" ht="13.9" x14ac:dyDescent="0.4">
      <c r="I1996" s="1073">
        <f t="shared" si="398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7"/>
        <v>0</v>
      </c>
      <c r="P1996" s="160"/>
      <c r="Q1996" s="1071">
        <f t="shared" si="399"/>
        <v>0</v>
      </c>
    </row>
    <row r="1997" spans="9:17" ht="13.9" x14ac:dyDescent="0.4">
      <c r="I1997" s="1073">
        <f t="shared" si="398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7"/>
        <v>0</v>
      </c>
      <c r="P1997" s="160"/>
      <c r="Q1997" s="1071">
        <f t="shared" si="399"/>
        <v>0</v>
      </c>
    </row>
    <row r="1998" spans="9:17" ht="13.9" x14ac:dyDescent="0.4">
      <c r="I1998" s="1073">
        <f t="shared" si="398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7"/>
        <v>0</v>
      </c>
      <c r="P1998" s="160"/>
      <c r="Q1998" s="1071">
        <f t="shared" si="399"/>
        <v>0</v>
      </c>
    </row>
    <row r="1999" spans="9:17" ht="13.9" x14ac:dyDescent="0.4">
      <c r="I1999" s="1073">
        <f t="shared" si="398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7"/>
        <v>0</v>
      </c>
      <c r="P1999" s="160"/>
      <c r="Q1999" s="1071">
        <f t="shared" si="399"/>
        <v>0</v>
      </c>
    </row>
    <row r="2000" spans="9:17" ht="13.9" x14ac:dyDescent="0.4">
      <c r="I2000" s="1073">
        <f t="shared" si="398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7"/>
        <v>0</v>
      </c>
      <c r="P2000" s="160"/>
      <c r="Q2000" s="1071">
        <f t="shared" si="399"/>
        <v>0</v>
      </c>
    </row>
    <row r="2001" spans="9:17" ht="13.9" x14ac:dyDescent="0.4">
      <c r="I2001" s="1073">
        <f t="shared" si="398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7"/>
        <v>0</v>
      </c>
      <c r="P2001" s="160"/>
      <c r="Q2001" s="1071">
        <f t="shared" si="399"/>
        <v>0</v>
      </c>
    </row>
    <row r="2002" spans="9:17" ht="13.9" x14ac:dyDescent="0.4">
      <c r="I2002" s="1073">
        <f t="shared" si="398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7"/>
        <v>0</v>
      </c>
      <c r="P2002" s="160"/>
      <c r="Q2002" s="1071">
        <f t="shared" si="399"/>
        <v>0</v>
      </c>
    </row>
    <row r="2003" spans="9:17" ht="13.9" x14ac:dyDescent="0.4">
      <c r="I2003" s="1073">
        <f t="shared" si="398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7"/>
        <v>0</v>
      </c>
      <c r="P2003" s="160"/>
      <c r="Q2003" s="1071">
        <f t="shared" si="399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400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1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400"/>
        <v>0</v>
      </c>
      <c r="P2009" s="160"/>
      <c r="Q2009" s="1071">
        <f>Q2008</f>
        <v>0</v>
      </c>
    </row>
    <row r="2010" spans="9:17" ht="13.9" x14ac:dyDescent="0.4">
      <c r="I2010" s="1073">
        <f t="shared" si="401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400"/>
        <v>0</v>
      </c>
      <c r="P2010" s="160"/>
      <c r="Q2010" s="1071">
        <f t="shared" ref="Q2010:Q2017" si="402">Q2009</f>
        <v>0</v>
      </c>
    </row>
    <row r="2011" spans="9:17" ht="13.9" x14ac:dyDescent="0.4">
      <c r="I2011" s="1073">
        <f t="shared" si="401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400"/>
        <v>0</v>
      </c>
      <c r="P2011" s="160"/>
      <c r="Q2011" s="1071">
        <f t="shared" si="402"/>
        <v>0</v>
      </c>
    </row>
    <row r="2012" spans="9:17" ht="13.9" x14ac:dyDescent="0.4">
      <c r="I2012" s="1073">
        <f t="shared" si="401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400"/>
        <v>0</v>
      </c>
      <c r="P2012" s="158"/>
      <c r="Q2012" s="1071">
        <f t="shared" si="402"/>
        <v>0</v>
      </c>
    </row>
    <row r="2013" spans="9:17" ht="13.9" x14ac:dyDescent="0.4">
      <c r="I2013" s="1073">
        <f t="shared" si="401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400"/>
        <v>0</v>
      </c>
      <c r="P2013" s="158"/>
      <c r="Q2013" s="1071">
        <f t="shared" si="402"/>
        <v>0</v>
      </c>
    </row>
    <row r="2014" spans="9:17" ht="13.9" x14ac:dyDescent="0.4">
      <c r="I2014" s="1073">
        <f t="shared" si="401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400"/>
        <v>0</v>
      </c>
      <c r="P2014" s="158"/>
      <c r="Q2014" s="1071">
        <f t="shared" si="402"/>
        <v>0</v>
      </c>
    </row>
    <row r="2015" spans="9:17" ht="13.9" x14ac:dyDescent="0.4">
      <c r="I2015" s="1073">
        <f t="shared" si="401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400"/>
        <v>0</v>
      </c>
      <c r="P2015" s="158"/>
      <c r="Q2015" s="1071">
        <f t="shared" si="402"/>
        <v>0</v>
      </c>
    </row>
    <row r="2016" spans="9:17" ht="13.9" x14ac:dyDescent="0.4">
      <c r="I2016" s="1073">
        <f t="shared" si="401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400"/>
        <v>0</v>
      </c>
      <c r="P2016" s="158"/>
      <c r="Q2016" s="1071">
        <f t="shared" si="402"/>
        <v>0</v>
      </c>
    </row>
    <row r="2017" spans="9:17" ht="13.9" x14ac:dyDescent="0.4">
      <c r="I2017" s="1073">
        <f t="shared" si="401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400"/>
        <v>0</v>
      </c>
      <c r="P2017" s="158"/>
      <c r="Q2017" s="1071">
        <f t="shared" si="402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Nematicide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Growth Regulator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3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4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3"/>
        <v>0</v>
      </c>
      <c r="P2029" s="160"/>
      <c r="Q2029" s="1071">
        <f t="shared" ref="Q2029:Q2034" si="405">Q2028</f>
        <v>0</v>
      </c>
    </row>
    <row r="2030" spans="9:17" ht="13.9" x14ac:dyDescent="0.4">
      <c r="I2030" s="1073">
        <f t="shared" si="404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3"/>
        <v>0</v>
      </c>
      <c r="P2030" s="160"/>
      <c r="Q2030" s="1071">
        <f t="shared" si="405"/>
        <v>0</v>
      </c>
    </row>
    <row r="2031" spans="9:17" ht="13.9" x14ac:dyDescent="0.4">
      <c r="I2031" s="1073">
        <f t="shared" si="404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3"/>
        <v>0</v>
      </c>
      <c r="P2031" s="158"/>
      <c r="Q2031" s="1071">
        <f t="shared" si="405"/>
        <v>0</v>
      </c>
    </row>
    <row r="2032" spans="9:17" ht="13.9" x14ac:dyDescent="0.4">
      <c r="I2032" s="1073">
        <f t="shared" si="404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3"/>
        <v>0</v>
      </c>
      <c r="P2032" s="158"/>
      <c r="Q2032" s="1071">
        <f t="shared" si="405"/>
        <v>0</v>
      </c>
    </row>
    <row r="2033" spans="9:17" ht="13.9" x14ac:dyDescent="0.4">
      <c r="I2033" s="1073">
        <f t="shared" si="404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3"/>
        <v>0</v>
      </c>
      <c r="P2033" s="158"/>
      <c r="Q2033" s="1071">
        <f t="shared" si="405"/>
        <v>0</v>
      </c>
    </row>
    <row r="2034" spans="9:17" ht="13.9" x14ac:dyDescent="0.4">
      <c r="I2034" s="1073">
        <f t="shared" si="404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3"/>
        <v>0</v>
      </c>
      <c r="P2034" s="158"/>
      <c r="Q2034" s="1071">
        <f t="shared" si="405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Defoliant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6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7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6"/>
        <v>0</v>
      </c>
      <c r="P2040" s="160"/>
      <c r="Q2040" s="1071">
        <f t="shared" ref="Q2040:Q2045" si="408">Q2039</f>
        <v>0</v>
      </c>
    </row>
    <row r="2041" spans="9:17" ht="13.9" x14ac:dyDescent="0.4">
      <c r="I2041" s="1073">
        <f t="shared" si="407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6"/>
        <v>0</v>
      </c>
      <c r="P2041" s="160"/>
      <c r="Q2041" s="1071">
        <f t="shared" si="408"/>
        <v>0</v>
      </c>
    </row>
    <row r="2042" spans="9:17" ht="13.9" x14ac:dyDescent="0.4">
      <c r="I2042" s="1073">
        <f t="shared" si="407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6"/>
        <v>0</v>
      </c>
      <c r="P2042" s="160"/>
      <c r="Q2042" s="1071">
        <f t="shared" si="408"/>
        <v>0</v>
      </c>
    </row>
    <row r="2043" spans="9:17" ht="13.9" x14ac:dyDescent="0.4">
      <c r="I2043" s="1073">
        <f t="shared" si="407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6"/>
        <v>0</v>
      </c>
      <c r="P2043" s="160"/>
      <c r="Q2043" s="1071">
        <f t="shared" si="408"/>
        <v>0</v>
      </c>
    </row>
    <row r="2044" spans="9:17" ht="13.9" x14ac:dyDescent="0.4">
      <c r="I2044" s="1073">
        <f t="shared" si="407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6"/>
        <v>0</v>
      </c>
      <c r="P2044" s="158"/>
      <c r="Q2044" s="1071">
        <f t="shared" si="408"/>
        <v>0</v>
      </c>
    </row>
    <row r="2045" spans="9:17" ht="13.9" x14ac:dyDescent="0.4">
      <c r="I2045" s="1073">
        <f t="shared" si="407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6"/>
        <v>0</v>
      </c>
      <c r="P2045" s="158"/>
      <c r="Q2045" s="1071">
        <f t="shared" si="408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9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10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9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10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9"/>
        <v>6.3570000000000002</v>
      </c>
      <c r="P2054" s="160">
        <f>N2054*16</f>
        <v>20.8</v>
      </c>
      <c r="Q2054" s="1071">
        <f t="shared" ref="Q2054:Q2065" si="411">Q2053</f>
        <v>0</v>
      </c>
    </row>
    <row r="2055" spans="9:17" ht="13.9" x14ac:dyDescent="0.4">
      <c r="I2055" s="1073">
        <f t="shared" si="410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9"/>
        <v>8.2249999999999996</v>
      </c>
      <c r="P2055" s="160">
        <f>N2055*32</f>
        <v>64</v>
      </c>
      <c r="Q2055" s="1071">
        <f t="shared" si="411"/>
        <v>0</v>
      </c>
    </row>
    <row r="2056" spans="9:17" ht="13.9" x14ac:dyDescent="0.4">
      <c r="I2056" s="1073">
        <f t="shared" si="410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9"/>
        <v>9.5</v>
      </c>
      <c r="P2056" s="1449">
        <f>N2056</f>
        <v>0.5</v>
      </c>
      <c r="Q2056" s="1071">
        <f t="shared" si="411"/>
        <v>0</v>
      </c>
    </row>
    <row r="2057" spans="9:17" ht="13.9" x14ac:dyDescent="0.4">
      <c r="I2057" s="1073">
        <f t="shared" si="410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9"/>
        <v>0</v>
      </c>
      <c r="P2057" s="160"/>
      <c r="Q2057" s="1071">
        <f t="shared" si="411"/>
        <v>0</v>
      </c>
    </row>
    <row r="2058" spans="9:17" ht="13.9" x14ac:dyDescent="0.4">
      <c r="I2058" s="1073">
        <f t="shared" si="410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9"/>
        <v>0</v>
      </c>
      <c r="P2058" s="160"/>
      <c r="Q2058" s="1071">
        <f t="shared" si="411"/>
        <v>0</v>
      </c>
    </row>
    <row r="2059" spans="9:17" ht="13.9" x14ac:dyDescent="0.4">
      <c r="I2059" s="1073">
        <f t="shared" si="410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9"/>
        <v>0</v>
      </c>
      <c r="P2059" s="160"/>
      <c r="Q2059" s="1071">
        <f t="shared" si="411"/>
        <v>0</v>
      </c>
    </row>
    <row r="2060" spans="9:17" ht="13.9" x14ac:dyDescent="0.4">
      <c r="I2060" s="1073">
        <f t="shared" si="410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9"/>
        <v>0</v>
      </c>
      <c r="P2060" s="160"/>
      <c r="Q2060" s="1071">
        <f t="shared" si="411"/>
        <v>0</v>
      </c>
    </row>
    <row r="2061" spans="9:17" ht="13.9" x14ac:dyDescent="0.4">
      <c r="I2061" s="1073">
        <f t="shared" si="410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9"/>
        <v>0</v>
      </c>
      <c r="P2061" s="160"/>
      <c r="Q2061" s="1071">
        <f t="shared" si="411"/>
        <v>0</v>
      </c>
    </row>
    <row r="2062" spans="9:17" ht="13.9" x14ac:dyDescent="0.4">
      <c r="I2062" s="1073">
        <f t="shared" si="410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9"/>
        <v>0</v>
      </c>
      <c r="P2062" s="160"/>
      <c r="Q2062" s="1071">
        <f t="shared" si="411"/>
        <v>0</v>
      </c>
    </row>
    <row r="2063" spans="9:17" ht="13.9" x14ac:dyDescent="0.4">
      <c r="I2063" s="1073">
        <f t="shared" si="410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9"/>
        <v>0</v>
      </c>
      <c r="P2063" s="160"/>
      <c r="Q2063" s="1071">
        <f t="shared" si="411"/>
        <v>0</v>
      </c>
    </row>
    <row r="2064" spans="9:17" ht="13.9" x14ac:dyDescent="0.4">
      <c r="I2064" s="1073">
        <f t="shared" si="410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9"/>
        <v>0</v>
      </c>
      <c r="P2064" s="160"/>
      <c r="Q2064" s="1071">
        <f t="shared" si="411"/>
        <v>0</v>
      </c>
    </row>
    <row r="2065" spans="9:17" ht="13.9" x14ac:dyDescent="0.4">
      <c r="I2065" s="1073">
        <f t="shared" si="410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9"/>
        <v>0</v>
      </c>
      <c r="P2065" s="160"/>
      <c r="Q2065" s="1071">
        <f t="shared" si="411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2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3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2"/>
        <v>0</v>
      </c>
      <c r="P2071" s="160"/>
      <c r="Q2071" s="1071">
        <f>Q2070</f>
        <v>0</v>
      </c>
    </row>
    <row r="2072" spans="9:17" ht="13.9" x14ac:dyDescent="0.4">
      <c r="I2072" s="1073">
        <f t="shared" si="413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2"/>
        <v>0</v>
      </c>
      <c r="P2072" s="160"/>
      <c r="Q2072" s="1071">
        <f t="shared" ref="Q2072:Q2079" si="414">Q2071</f>
        <v>0</v>
      </c>
    </row>
    <row r="2073" spans="9:17" ht="13.9" x14ac:dyDescent="0.4">
      <c r="I2073" s="1073">
        <f t="shared" si="413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2"/>
        <v>0</v>
      </c>
      <c r="P2073" s="160"/>
      <c r="Q2073" s="1071">
        <f t="shared" si="414"/>
        <v>0</v>
      </c>
    </row>
    <row r="2074" spans="9:17" ht="13.9" x14ac:dyDescent="0.4">
      <c r="I2074" s="1073">
        <f t="shared" si="413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2"/>
        <v>0</v>
      </c>
      <c r="P2074" s="158"/>
      <c r="Q2074" s="1071">
        <f t="shared" si="414"/>
        <v>0</v>
      </c>
    </row>
    <row r="2075" spans="9:17" ht="13.9" x14ac:dyDescent="0.4">
      <c r="I2075" s="1073">
        <f t="shared" si="413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2"/>
        <v>0</v>
      </c>
      <c r="P2075" s="158"/>
      <c r="Q2075" s="1071">
        <f t="shared" si="414"/>
        <v>0</v>
      </c>
    </row>
    <row r="2076" spans="9:17" ht="13.9" x14ac:dyDescent="0.4">
      <c r="I2076" s="1073">
        <f t="shared" si="413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2"/>
        <v>0</v>
      </c>
      <c r="P2076" s="158"/>
      <c r="Q2076" s="1071">
        <f t="shared" si="414"/>
        <v>0</v>
      </c>
    </row>
    <row r="2077" spans="9:17" ht="13.9" x14ac:dyDescent="0.4">
      <c r="I2077" s="1073">
        <f t="shared" si="413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2"/>
        <v>0</v>
      </c>
      <c r="P2077" s="158"/>
      <c r="Q2077" s="1071">
        <f t="shared" si="414"/>
        <v>0</v>
      </c>
    </row>
    <row r="2078" spans="9:17" ht="13.9" x14ac:dyDescent="0.4">
      <c r="I2078" s="1073">
        <f t="shared" si="413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2"/>
        <v>0</v>
      </c>
      <c r="P2078" s="158"/>
      <c r="Q2078" s="1071">
        <f t="shared" si="414"/>
        <v>0</v>
      </c>
    </row>
    <row r="2079" spans="9:17" ht="13.9" x14ac:dyDescent="0.4">
      <c r="I2079" s="1073">
        <f t="shared" si="413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2"/>
        <v>0</v>
      </c>
      <c r="P2079" s="158"/>
      <c r="Q2079" s="1071">
        <f t="shared" si="414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Nematicide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Growth Regulator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5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6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5"/>
        <v>0</v>
      </c>
      <c r="P2091" s="160"/>
      <c r="Q2091" s="1071">
        <f t="shared" ref="Q2091:Q2096" si="417">Q2090</f>
        <v>0</v>
      </c>
    </row>
    <row r="2092" spans="9:17" ht="13.9" x14ac:dyDescent="0.4">
      <c r="I2092" s="1073">
        <f t="shared" si="416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5"/>
        <v>0</v>
      </c>
      <c r="P2092" s="160"/>
      <c r="Q2092" s="1071">
        <f t="shared" si="417"/>
        <v>0</v>
      </c>
    </row>
    <row r="2093" spans="9:17" ht="13.9" x14ac:dyDescent="0.4">
      <c r="I2093" s="1073">
        <f t="shared" si="416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5"/>
        <v>0</v>
      </c>
      <c r="P2093" s="158"/>
      <c r="Q2093" s="1071">
        <f t="shared" si="417"/>
        <v>0</v>
      </c>
    </row>
    <row r="2094" spans="9:17" ht="13.9" x14ac:dyDescent="0.4">
      <c r="I2094" s="1073">
        <f t="shared" si="416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5"/>
        <v>0</v>
      </c>
      <c r="P2094" s="158"/>
      <c r="Q2094" s="1071">
        <f t="shared" si="417"/>
        <v>0</v>
      </c>
    </row>
    <row r="2095" spans="9:17" ht="13.9" x14ac:dyDescent="0.4">
      <c r="I2095" s="1073">
        <f t="shared" si="416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5"/>
        <v>0</v>
      </c>
      <c r="P2095" s="158"/>
      <c r="Q2095" s="1071">
        <f t="shared" si="417"/>
        <v>0</v>
      </c>
    </row>
    <row r="2096" spans="9:17" ht="13.9" x14ac:dyDescent="0.4">
      <c r="I2096" s="1073">
        <f t="shared" si="416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5"/>
        <v>0</v>
      </c>
      <c r="P2096" s="158"/>
      <c r="Q2096" s="1071">
        <f t="shared" si="417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Defoliant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8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9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8"/>
        <v>0</v>
      </c>
      <c r="P2102" s="160"/>
      <c r="Q2102" s="1071">
        <f t="shared" ref="Q2102:Q2107" si="420">Q2101</f>
        <v>0</v>
      </c>
    </row>
    <row r="2103" spans="9:17" ht="13.9" x14ac:dyDescent="0.4">
      <c r="I2103" s="1073">
        <f t="shared" si="419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8"/>
        <v>0</v>
      </c>
      <c r="P2103" s="160"/>
      <c r="Q2103" s="1071">
        <f t="shared" si="420"/>
        <v>0</v>
      </c>
    </row>
    <row r="2104" spans="9:17" ht="13.9" x14ac:dyDescent="0.4">
      <c r="I2104" s="1073">
        <f t="shared" si="419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8"/>
        <v>0</v>
      </c>
      <c r="P2104" s="160"/>
      <c r="Q2104" s="1071">
        <f t="shared" si="420"/>
        <v>0</v>
      </c>
    </row>
    <row r="2105" spans="9:17" ht="13.9" x14ac:dyDescent="0.4">
      <c r="I2105" s="1073">
        <f t="shared" si="419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8"/>
        <v>0</v>
      </c>
      <c r="P2105" s="160"/>
      <c r="Q2105" s="1071">
        <f t="shared" si="420"/>
        <v>0</v>
      </c>
    </row>
    <row r="2106" spans="9:17" ht="13.9" x14ac:dyDescent="0.4">
      <c r="I2106" s="1073">
        <f t="shared" si="419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8"/>
        <v>0</v>
      </c>
      <c r="P2106" s="158"/>
      <c r="Q2106" s="1071">
        <f t="shared" si="420"/>
        <v>0</v>
      </c>
    </row>
    <row r="2107" spans="9:17" ht="13.9" x14ac:dyDescent="0.4">
      <c r="I2107" s="1073">
        <f t="shared" si="419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8"/>
        <v>0</v>
      </c>
      <c r="P2107" s="158"/>
      <c r="Q2107" s="1071">
        <f t="shared" si="420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1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2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1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2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1"/>
        <v>0.68414062499999995</v>
      </c>
      <c r="P2116" s="160">
        <f>N2116</f>
        <v>1</v>
      </c>
      <c r="Q2116" s="1071">
        <f t="shared" ref="Q2116:Q2127" si="423">Q2115</f>
        <v>0</v>
      </c>
    </row>
    <row r="2117" spans="9:17" ht="13.9" x14ac:dyDescent="0.4">
      <c r="I2117" s="1073">
        <f t="shared" si="422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1"/>
        <v>0.27396484375000002</v>
      </c>
      <c r="P2117" s="1449">
        <f>N2117*16</f>
        <v>16</v>
      </c>
      <c r="Q2117" s="1071">
        <f t="shared" si="423"/>
        <v>0</v>
      </c>
    </row>
    <row r="2118" spans="9:17" ht="13.9" x14ac:dyDescent="0.4">
      <c r="I2118" s="1073">
        <f t="shared" si="422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1"/>
        <v>20.09765625</v>
      </c>
      <c r="P2118" s="1449">
        <f>N2118*16</f>
        <v>56</v>
      </c>
      <c r="Q2118" s="1071">
        <f t="shared" si="423"/>
        <v>0</v>
      </c>
    </row>
    <row r="2119" spans="9:17" ht="13.9" x14ac:dyDescent="0.4">
      <c r="I2119" s="1073">
        <f t="shared" si="422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1"/>
        <v>0.6796875</v>
      </c>
      <c r="P2119" s="1449">
        <f>N2119</f>
        <v>1.5</v>
      </c>
      <c r="Q2119" s="1071">
        <f t="shared" si="423"/>
        <v>0</v>
      </c>
    </row>
    <row r="2120" spans="9:17" ht="13.9" x14ac:dyDescent="0.4">
      <c r="I2120" s="1073">
        <f t="shared" si="422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1"/>
        <v>12.600000000000001</v>
      </c>
      <c r="P2120" s="160"/>
      <c r="Q2120" s="1071">
        <f t="shared" si="423"/>
        <v>0</v>
      </c>
    </row>
    <row r="2121" spans="9:17" ht="13.9" x14ac:dyDescent="0.4">
      <c r="I2121" s="1073">
        <f t="shared" si="422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1"/>
        <v>7.375</v>
      </c>
      <c r="P2121" s="160"/>
      <c r="Q2121" s="1071">
        <f t="shared" si="423"/>
        <v>0</v>
      </c>
    </row>
    <row r="2122" spans="9:17" ht="13.9" x14ac:dyDescent="0.4">
      <c r="I2122" s="1073">
        <f t="shared" si="422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1"/>
        <v>12.036</v>
      </c>
      <c r="P2122" s="160"/>
      <c r="Q2122" s="1071">
        <f t="shared" si="423"/>
        <v>0</v>
      </c>
    </row>
    <row r="2123" spans="9:17" ht="13.9" x14ac:dyDescent="0.4">
      <c r="I2123" s="1073">
        <f t="shared" si="422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1"/>
        <v>0.70937499999999998</v>
      </c>
      <c r="P2123" s="160"/>
      <c r="Q2123" s="1071">
        <f t="shared" si="423"/>
        <v>0</v>
      </c>
    </row>
    <row r="2124" spans="9:17" ht="13.9" x14ac:dyDescent="0.4">
      <c r="I2124" s="1073">
        <f t="shared" si="422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1"/>
        <v>0</v>
      </c>
      <c r="P2124" s="160"/>
      <c r="Q2124" s="1071">
        <f t="shared" si="423"/>
        <v>0</v>
      </c>
    </row>
    <row r="2125" spans="9:17" ht="13.9" x14ac:dyDescent="0.4">
      <c r="I2125" s="1073">
        <f t="shared" si="422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1"/>
        <v>0</v>
      </c>
      <c r="P2125" s="160"/>
      <c r="Q2125" s="1071">
        <f t="shared" si="423"/>
        <v>0</v>
      </c>
    </row>
    <row r="2126" spans="9:17" ht="13.9" x14ac:dyDescent="0.4">
      <c r="I2126" s="1073">
        <f t="shared" si="422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1"/>
        <v>0</v>
      </c>
      <c r="P2126" s="160"/>
      <c r="Q2126" s="1071">
        <f t="shared" si="423"/>
        <v>0</v>
      </c>
    </row>
    <row r="2127" spans="9:17" ht="13.9" x14ac:dyDescent="0.4">
      <c r="I2127" s="1073">
        <f t="shared" si="422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1"/>
        <v>0</v>
      </c>
      <c r="P2127" s="160"/>
      <c r="Q2127" s="1071">
        <f t="shared" si="423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4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5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4"/>
        <v>0</v>
      </c>
      <c r="P2133" s="158"/>
      <c r="Q2133" s="1071">
        <f>Q2132</f>
        <v>0</v>
      </c>
    </row>
    <row r="2134" spans="9:17" ht="13.9" x14ac:dyDescent="0.4">
      <c r="I2134" s="1073">
        <f t="shared" si="425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4"/>
        <v>0</v>
      </c>
      <c r="P2134" s="158"/>
      <c r="Q2134" s="1071">
        <f t="shared" ref="Q2134:Q2141" si="426">Q2133</f>
        <v>0</v>
      </c>
    </row>
    <row r="2135" spans="9:17" ht="13.9" x14ac:dyDescent="0.4">
      <c r="I2135" s="1073">
        <f t="shared" si="425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4"/>
        <v>0</v>
      </c>
      <c r="P2135" s="158"/>
      <c r="Q2135" s="1071">
        <f t="shared" si="426"/>
        <v>0</v>
      </c>
    </row>
    <row r="2136" spans="9:17" ht="13.9" x14ac:dyDescent="0.4">
      <c r="I2136" s="1073">
        <f t="shared" si="425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4"/>
        <v>0</v>
      </c>
      <c r="P2136" s="158"/>
      <c r="Q2136" s="1071">
        <f t="shared" si="426"/>
        <v>0</v>
      </c>
    </row>
    <row r="2137" spans="9:17" ht="13.9" x14ac:dyDescent="0.4">
      <c r="I2137" s="1073">
        <f t="shared" si="425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4"/>
        <v>0</v>
      </c>
      <c r="P2137" s="158"/>
      <c r="Q2137" s="1071">
        <f t="shared" si="426"/>
        <v>0</v>
      </c>
    </row>
    <row r="2138" spans="9:17" ht="13.9" x14ac:dyDescent="0.4">
      <c r="I2138" s="1073">
        <f t="shared" si="425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4"/>
        <v>0</v>
      </c>
      <c r="P2138" s="158"/>
      <c r="Q2138" s="1071">
        <f t="shared" si="426"/>
        <v>0</v>
      </c>
    </row>
    <row r="2139" spans="9:17" ht="13.9" x14ac:dyDescent="0.4">
      <c r="I2139" s="1073">
        <f t="shared" si="425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4"/>
        <v>0</v>
      </c>
      <c r="P2139" s="158"/>
      <c r="Q2139" s="1071">
        <f t="shared" si="426"/>
        <v>0</v>
      </c>
    </row>
    <row r="2140" spans="9:17" ht="13.9" x14ac:dyDescent="0.4">
      <c r="I2140" s="1073">
        <f t="shared" si="425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4"/>
        <v>0</v>
      </c>
      <c r="P2140" s="158"/>
      <c r="Q2140" s="1071">
        <f t="shared" si="426"/>
        <v>0</v>
      </c>
    </row>
    <row r="2141" spans="9:17" ht="13.9" x14ac:dyDescent="0.4">
      <c r="I2141" s="1073">
        <f t="shared" si="425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4"/>
        <v>0</v>
      </c>
      <c r="P2141" s="158"/>
      <c r="Q2141" s="1071">
        <f t="shared" si="426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Nematicide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Growth Regulator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7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8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7"/>
        <v>0</v>
      </c>
      <c r="P2153" s="158"/>
      <c r="Q2153" s="1071">
        <f t="shared" ref="Q2153:Q2158" si="429">Q2152</f>
        <v>0</v>
      </c>
    </row>
    <row r="2154" spans="9:17" ht="13.9" x14ac:dyDescent="0.4">
      <c r="I2154" s="1073">
        <f t="shared" si="428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7"/>
        <v>0</v>
      </c>
      <c r="P2154" s="158"/>
      <c r="Q2154" s="1071">
        <f t="shared" si="429"/>
        <v>0</v>
      </c>
    </row>
    <row r="2155" spans="9:17" ht="13.9" x14ac:dyDescent="0.4">
      <c r="I2155" s="1073">
        <f t="shared" si="428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7"/>
        <v>0</v>
      </c>
      <c r="P2155" s="158"/>
      <c r="Q2155" s="1071">
        <f t="shared" si="429"/>
        <v>0</v>
      </c>
    </row>
    <row r="2156" spans="9:17" ht="13.9" x14ac:dyDescent="0.4">
      <c r="I2156" s="1073">
        <f t="shared" si="428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7"/>
        <v>0</v>
      </c>
      <c r="P2156" s="158"/>
      <c r="Q2156" s="1071">
        <f t="shared" si="429"/>
        <v>0</v>
      </c>
    </row>
    <row r="2157" spans="9:17" ht="13.9" x14ac:dyDescent="0.4">
      <c r="I2157" s="1073">
        <f t="shared" si="428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7"/>
        <v>0</v>
      </c>
      <c r="P2157" s="158"/>
      <c r="Q2157" s="1071">
        <f t="shared" si="429"/>
        <v>0</v>
      </c>
    </row>
    <row r="2158" spans="9:17" ht="13.9" x14ac:dyDescent="0.4">
      <c r="I2158" s="1073">
        <f t="shared" si="428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7"/>
        <v>0</v>
      </c>
      <c r="P2158" s="158"/>
      <c r="Q2158" s="1071">
        <f t="shared" si="429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Defoliant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30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1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30"/>
        <v>0</v>
      </c>
      <c r="P2164" s="158"/>
      <c r="Q2164" s="1071">
        <f t="shared" ref="Q2164:Q2169" si="432">Q2163</f>
        <v>0</v>
      </c>
    </row>
    <row r="2165" spans="9:17" ht="13.9" x14ac:dyDescent="0.4">
      <c r="I2165" s="1073">
        <f t="shared" si="431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30"/>
        <v>0</v>
      </c>
      <c r="P2165" s="158"/>
      <c r="Q2165" s="1071">
        <f t="shared" si="432"/>
        <v>0</v>
      </c>
    </row>
    <row r="2166" spans="9:17" ht="13.9" x14ac:dyDescent="0.4">
      <c r="I2166" s="1073">
        <f t="shared" si="431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30"/>
        <v>0</v>
      </c>
      <c r="P2166" s="158"/>
      <c r="Q2166" s="1071">
        <f t="shared" si="432"/>
        <v>0</v>
      </c>
    </row>
    <row r="2167" spans="9:17" ht="13.9" x14ac:dyDescent="0.4">
      <c r="I2167" s="1073">
        <f t="shared" si="431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30"/>
        <v>0</v>
      </c>
      <c r="P2167" s="158"/>
      <c r="Q2167" s="1071">
        <f t="shared" si="432"/>
        <v>0</v>
      </c>
    </row>
    <row r="2168" spans="9:17" ht="13.9" x14ac:dyDescent="0.4">
      <c r="I2168" s="1073">
        <f t="shared" si="431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30"/>
        <v>0</v>
      </c>
      <c r="P2168" s="158"/>
      <c r="Q2168" s="1071">
        <f t="shared" si="432"/>
        <v>0</v>
      </c>
    </row>
    <row r="2169" spans="9:17" ht="13.9" x14ac:dyDescent="0.4">
      <c r="I2169" s="1073">
        <f t="shared" si="431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30"/>
        <v>0</v>
      </c>
      <c r="P2169" s="158"/>
      <c r="Q2169" s="1071">
        <f t="shared" si="432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3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4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3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4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3"/>
        <v>0.68414062499999995</v>
      </c>
      <c r="P2178" s="160">
        <f>N2178</f>
        <v>1</v>
      </c>
      <c r="Q2178" s="1071">
        <f t="shared" ref="Q2178:Q2189" si="435">Q2177</f>
        <v>0</v>
      </c>
    </row>
    <row r="2179" spans="9:17" ht="13.9" x14ac:dyDescent="0.4">
      <c r="I2179" s="1073">
        <f t="shared" si="434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3"/>
        <v>0.27396484375000002</v>
      </c>
      <c r="P2179" s="1449">
        <f>N2179*16</f>
        <v>16</v>
      </c>
      <c r="Q2179" s="1071">
        <f t="shared" si="435"/>
        <v>0</v>
      </c>
    </row>
    <row r="2180" spans="9:17" ht="13.9" x14ac:dyDescent="0.4">
      <c r="I2180" s="1073">
        <f t="shared" si="434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3"/>
        <v>20.09765625</v>
      </c>
      <c r="P2180" s="1449">
        <f>N2180*16</f>
        <v>56</v>
      </c>
      <c r="Q2180" s="1071">
        <f t="shared" si="435"/>
        <v>0</v>
      </c>
    </row>
    <row r="2181" spans="9:17" ht="13.9" x14ac:dyDescent="0.4">
      <c r="I2181" s="1073">
        <f t="shared" si="434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3"/>
        <v>0.6796875</v>
      </c>
      <c r="P2181" s="1449">
        <f>N2181</f>
        <v>1.5</v>
      </c>
      <c r="Q2181" s="1071">
        <f t="shared" si="435"/>
        <v>0</v>
      </c>
    </row>
    <row r="2182" spans="9:17" ht="13.9" x14ac:dyDescent="0.4">
      <c r="I2182" s="1073">
        <f t="shared" si="434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3"/>
        <v>12.600000000000001</v>
      </c>
      <c r="P2182" s="160"/>
      <c r="Q2182" s="1071">
        <f t="shared" si="435"/>
        <v>0</v>
      </c>
    </row>
    <row r="2183" spans="9:17" ht="13.9" x14ac:dyDescent="0.4">
      <c r="I2183" s="1073">
        <f t="shared" si="434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3"/>
        <v>7.375</v>
      </c>
      <c r="P2183" s="160"/>
      <c r="Q2183" s="1071">
        <f t="shared" si="435"/>
        <v>0</v>
      </c>
    </row>
    <row r="2184" spans="9:17" ht="13.9" x14ac:dyDescent="0.4">
      <c r="I2184" s="1073">
        <f t="shared" si="434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3"/>
        <v>12.036</v>
      </c>
      <c r="P2184" s="160"/>
      <c r="Q2184" s="1071">
        <f t="shared" si="435"/>
        <v>0</v>
      </c>
    </row>
    <row r="2185" spans="9:17" ht="13.9" x14ac:dyDescent="0.4">
      <c r="I2185" s="1073">
        <f t="shared" si="434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3"/>
        <v>0.70937499999999998</v>
      </c>
      <c r="P2185" s="160"/>
      <c r="Q2185" s="1071">
        <f t="shared" si="435"/>
        <v>0</v>
      </c>
    </row>
    <row r="2186" spans="9:17" ht="13.9" x14ac:dyDescent="0.4">
      <c r="I2186" s="1073">
        <f t="shared" si="434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3"/>
        <v>0</v>
      </c>
      <c r="P2186" s="160"/>
      <c r="Q2186" s="1071">
        <f t="shared" si="435"/>
        <v>0</v>
      </c>
    </row>
    <row r="2187" spans="9:17" ht="13.9" x14ac:dyDescent="0.4">
      <c r="I2187" s="1073">
        <f t="shared" si="434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3"/>
        <v>0</v>
      </c>
      <c r="P2187" s="160"/>
      <c r="Q2187" s="1071">
        <f t="shared" si="435"/>
        <v>0</v>
      </c>
    </row>
    <row r="2188" spans="9:17" ht="13.9" x14ac:dyDescent="0.4">
      <c r="I2188" s="1073">
        <f t="shared" si="434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3"/>
        <v>0</v>
      </c>
      <c r="P2188" s="160"/>
      <c r="Q2188" s="1071">
        <f t="shared" si="435"/>
        <v>0</v>
      </c>
    </row>
    <row r="2189" spans="9:17" ht="13.9" x14ac:dyDescent="0.4">
      <c r="I2189" s="1073">
        <f t="shared" si="434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3"/>
        <v>0</v>
      </c>
      <c r="P2189" s="160"/>
      <c r="Q2189" s="1071">
        <f t="shared" si="435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6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7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6"/>
        <v>0</v>
      </c>
      <c r="P2195" s="158"/>
      <c r="Q2195" s="1071">
        <f>Q2194</f>
        <v>0</v>
      </c>
    </row>
    <row r="2196" spans="9:17" ht="13.9" x14ac:dyDescent="0.4">
      <c r="I2196" s="1073">
        <f t="shared" si="437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6"/>
        <v>0</v>
      </c>
      <c r="P2196" s="158"/>
      <c r="Q2196" s="1071">
        <f t="shared" ref="Q2196:Q2203" si="438">Q2195</f>
        <v>0</v>
      </c>
    </row>
    <row r="2197" spans="9:17" ht="13.9" x14ac:dyDescent="0.4">
      <c r="I2197" s="1073">
        <f t="shared" si="437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6"/>
        <v>0</v>
      </c>
      <c r="P2197" s="158"/>
      <c r="Q2197" s="1071">
        <f t="shared" si="438"/>
        <v>0</v>
      </c>
    </row>
    <row r="2198" spans="9:17" ht="13.9" x14ac:dyDescent="0.4">
      <c r="I2198" s="1073">
        <f t="shared" si="437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6"/>
        <v>0</v>
      </c>
      <c r="P2198" s="158"/>
      <c r="Q2198" s="1071">
        <f t="shared" si="438"/>
        <v>0</v>
      </c>
    </row>
    <row r="2199" spans="9:17" ht="13.9" x14ac:dyDescent="0.4">
      <c r="I2199" s="1073">
        <f t="shared" si="437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6"/>
        <v>0</v>
      </c>
      <c r="P2199" s="158"/>
      <c r="Q2199" s="1071">
        <f t="shared" si="438"/>
        <v>0</v>
      </c>
    </row>
    <row r="2200" spans="9:17" ht="13.9" x14ac:dyDescent="0.4">
      <c r="I2200" s="1073">
        <f t="shared" si="437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6"/>
        <v>0</v>
      </c>
      <c r="P2200" s="158"/>
      <c r="Q2200" s="1071">
        <f t="shared" si="438"/>
        <v>0</v>
      </c>
    </row>
    <row r="2201" spans="9:17" ht="13.9" x14ac:dyDescent="0.4">
      <c r="I2201" s="1073">
        <f t="shared" si="437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6"/>
        <v>0</v>
      </c>
      <c r="P2201" s="158"/>
      <c r="Q2201" s="1071">
        <f t="shared" si="438"/>
        <v>0</v>
      </c>
    </row>
    <row r="2202" spans="9:17" ht="13.9" x14ac:dyDescent="0.4">
      <c r="I2202" s="1073">
        <f t="shared" si="437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6"/>
        <v>0</v>
      </c>
      <c r="P2202" s="158"/>
      <c r="Q2202" s="1071">
        <f t="shared" si="438"/>
        <v>0</v>
      </c>
    </row>
    <row r="2203" spans="9:17" ht="13.9" x14ac:dyDescent="0.4">
      <c r="I2203" s="1073">
        <f t="shared" si="437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6"/>
        <v>0</v>
      </c>
      <c r="P2203" s="158"/>
      <c r="Q2203" s="1071">
        <f t="shared" si="438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Nematicide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Growth Regulator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9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40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9"/>
        <v>0</v>
      </c>
      <c r="P2215" s="158"/>
      <c r="Q2215" s="1071">
        <f t="shared" ref="Q2215:Q2220" si="441">Q2214</f>
        <v>0</v>
      </c>
    </row>
    <row r="2216" spans="9:17" ht="13.9" x14ac:dyDescent="0.4">
      <c r="I2216" s="1073">
        <f t="shared" si="440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9"/>
        <v>0</v>
      </c>
      <c r="P2216" s="158"/>
      <c r="Q2216" s="1071">
        <f t="shared" si="441"/>
        <v>0</v>
      </c>
    </row>
    <row r="2217" spans="9:17" ht="13.9" x14ac:dyDescent="0.4">
      <c r="I2217" s="1073">
        <f t="shared" si="440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9"/>
        <v>0</v>
      </c>
      <c r="P2217" s="158"/>
      <c r="Q2217" s="1071">
        <f t="shared" si="441"/>
        <v>0</v>
      </c>
    </row>
    <row r="2218" spans="9:17" ht="13.9" x14ac:dyDescent="0.4">
      <c r="I2218" s="1073">
        <f t="shared" si="440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9"/>
        <v>0</v>
      </c>
      <c r="P2218" s="158"/>
      <c r="Q2218" s="1071">
        <f t="shared" si="441"/>
        <v>0</v>
      </c>
    </row>
    <row r="2219" spans="9:17" ht="13.9" x14ac:dyDescent="0.4">
      <c r="I2219" s="1073">
        <f t="shared" si="440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9"/>
        <v>0</v>
      </c>
      <c r="P2219" s="158"/>
      <c r="Q2219" s="1071">
        <f t="shared" si="441"/>
        <v>0</v>
      </c>
    </row>
    <row r="2220" spans="9:17" ht="13.9" x14ac:dyDescent="0.4">
      <c r="I2220" s="1073">
        <f t="shared" si="440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9"/>
        <v>0</v>
      </c>
      <c r="P2220" s="158"/>
      <c r="Q2220" s="1071">
        <f t="shared" si="441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Defoliant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2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3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2"/>
        <v>0</v>
      </c>
      <c r="P2226" s="158"/>
      <c r="Q2226" s="1071">
        <f t="shared" ref="Q2226:Q2231" si="444">Q2225</f>
        <v>0</v>
      </c>
    </row>
    <row r="2227" spans="9:17" ht="13.9" x14ac:dyDescent="0.4">
      <c r="I2227" s="1073">
        <f t="shared" si="443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2"/>
        <v>0</v>
      </c>
      <c r="P2227" s="158"/>
      <c r="Q2227" s="1071">
        <f t="shared" si="444"/>
        <v>0</v>
      </c>
    </row>
    <row r="2228" spans="9:17" ht="13.9" x14ac:dyDescent="0.4">
      <c r="I2228" s="1073">
        <f t="shared" si="443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2"/>
        <v>0</v>
      </c>
      <c r="P2228" s="158"/>
      <c r="Q2228" s="1071">
        <f t="shared" si="444"/>
        <v>0</v>
      </c>
    </row>
    <row r="2229" spans="9:17" ht="13.9" x14ac:dyDescent="0.4">
      <c r="I2229" s="1073">
        <f t="shared" si="443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2"/>
        <v>0</v>
      </c>
      <c r="P2229" s="158"/>
      <c r="Q2229" s="1071">
        <f t="shared" si="444"/>
        <v>0</v>
      </c>
    </row>
    <row r="2230" spans="9:17" ht="13.9" x14ac:dyDescent="0.4">
      <c r="I2230" s="1073">
        <f t="shared" si="443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2"/>
        <v>0</v>
      </c>
      <c r="P2230" s="158"/>
      <c r="Q2230" s="1071">
        <f t="shared" si="444"/>
        <v>0</v>
      </c>
    </row>
    <row r="2231" spans="9:17" ht="13.9" x14ac:dyDescent="0.4">
      <c r="I2231" s="1073">
        <f t="shared" si="443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2"/>
        <v>0</v>
      </c>
      <c r="P2231" s="158"/>
      <c r="Q2231" s="1071">
        <f t="shared" si="444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5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6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5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6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5"/>
        <v>0.68414062499999995</v>
      </c>
      <c r="P2240" s="160">
        <f>N2240</f>
        <v>1</v>
      </c>
      <c r="Q2240" s="1071">
        <f t="shared" ref="Q2240:Q2251" si="447">Q2239</f>
        <v>0</v>
      </c>
    </row>
    <row r="2241" spans="9:17" ht="13.9" x14ac:dyDescent="0.4">
      <c r="I2241" s="1073">
        <f t="shared" si="446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5"/>
        <v>0.27396484375000002</v>
      </c>
      <c r="P2241" s="1449">
        <f>N2241*16</f>
        <v>16</v>
      </c>
      <c r="Q2241" s="1071">
        <f t="shared" si="447"/>
        <v>0</v>
      </c>
    </row>
    <row r="2242" spans="9:17" ht="13.9" x14ac:dyDescent="0.4">
      <c r="I2242" s="1073">
        <f t="shared" si="446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5"/>
        <v>20.09765625</v>
      </c>
      <c r="P2242" s="1449">
        <f>N2242*16</f>
        <v>56</v>
      </c>
      <c r="Q2242" s="1071">
        <f t="shared" si="447"/>
        <v>0</v>
      </c>
    </row>
    <row r="2243" spans="9:17" ht="13.9" x14ac:dyDescent="0.4">
      <c r="I2243" s="1073">
        <f t="shared" si="446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5"/>
        <v>0.6796875</v>
      </c>
      <c r="P2243" s="1449">
        <f>N2243</f>
        <v>1.5</v>
      </c>
      <c r="Q2243" s="1071">
        <f t="shared" si="447"/>
        <v>0</v>
      </c>
    </row>
    <row r="2244" spans="9:17" ht="13.9" x14ac:dyDescent="0.4">
      <c r="I2244" s="1073">
        <f t="shared" si="446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5"/>
        <v>12.600000000000001</v>
      </c>
      <c r="P2244" s="160"/>
      <c r="Q2244" s="1071">
        <f t="shared" si="447"/>
        <v>0</v>
      </c>
    </row>
    <row r="2245" spans="9:17" ht="13.9" x14ac:dyDescent="0.4">
      <c r="I2245" s="1073">
        <f t="shared" si="446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5"/>
        <v>7.375</v>
      </c>
      <c r="P2245" s="160"/>
      <c r="Q2245" s="1071">
        <f t="shared" si="447"/>
        <v>0</v>
      </c>
    </row>
    <row r="2246" spans="9:17" ht="13.9" x14ac:dyDescent="0.4">
      <c r="I2246" s="1073">
        <f t="shared" si="446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5"/>
        <v>12.036</v>
      </c>
      <c r="P2246" s="160"/>
      <c r="Q2246" s="1071">
        <f t="shared" si="447"/>
        <v>0</v>
      </c>
    </row>
    <row r="2247" spans="9:17" ht="13.9" x14ac:dyDescent="0.4">
      <c r="I2247" s="1073">
        <f t="shared" si="446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5"/>
        <v>0.70937499999999998</v>
      </c>
      <c r="P2247" s="160"/>
      <c r="Q2247" s="1071">
        <f t="shared" si="447"/>
        <v>0</v>
      </c>
    </row>
    <row r="2248" spans="9:17" ht="13.9" x14ac:dyDescent="0.4">
      <c r="I2248" s="1073">
        <f t="shared" si="446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5"/>
        <v>0</v>
      </c>
      <c r="P2248" s="160"/>
      <c r="Q2248" s="1071">
        <f t="shared" si="447"/>
        <v>0</v>
      </c>
    </row>
    <row r="2249" spans="9:17" ht="13.9" x14ac:dyDescent="0.4">
      <c r="I2249" s="1073">
        <f t="shared" si="446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5"/>
        <v>0</v>
      </c>
      <c r="P2249" s="160"/>
      <c r="Q2249" s="1071">
        <f t="shared" si="447"/>
        <v>0</v>
      </c>
    </row>
    <row r="2250" spans="9:17" ht="13.9" x14ac:dyDescent="0.4">
      <c r="I2250" s="1073">
        <f t="shared" si="446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5"/>
        <v>0</v>
      </c>
      <c r="P2250" s="160"/>
      <c r="Q2250" s="1071">
        <f t="shared" si="447"/>
        <v>0</v>
      </c>
    </row>
    <row r="2251" spans="9:17" ht="13.9" x14ac:dyDescent="0.4">
      <c r="I2251" s="1073">
        <f t="shared" si="446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5"/>
        <v>0</v>
      </c>
      <c r="P2251" s="160"/>
      <c r="Q2251" s="1071">
        <f t="shared" si="447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8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9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8"/>
        <v>0</v>
      </c>
      <c r="P2257" s="158"/>
      <c r="Q2257" s="1071">
        <f>Q2256</f>
        <v>0</v>
      </c>
    </row>
    <row r="2258" spans="9:17" ht="13.9" x14ac:dyDescent="0.4">
      <c r="I2258" s="1073">
        <f t="shared" si="449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8"/>
        <v>0</v>
      </c>
      <c r="P2258" s="158"/>
      <c r="Q2258" s="1071">
        <f t="shared" ref="Q2258:Q2265" si="450">Q2257</f>
        <v>0</v>
      </c>
    </row>
    <row r="2259" spans="9:17" ht="13.9" x14ac:dyDescent="0.4">
      <c r="I2259" s="1073">
        <f t="shared" si="449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8"/>
        <v>0</v>
      </c>
      <c r="P2259" s="158"/>
      <c r="Q2259" s="1071">
        <f t="shared" si="450"/>
        <v>0</v>
      </c>
    </row>
    <row r="2260" spans="9:17" ht="13.9" x14ac:dyDescent="0.4">
      <c r="I2260" s="1073">
        <f t="shared" si="449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8"/>
        <v>0</v>
      </c>
      <c r="P2260" s="158"/>
      <c r="Q2260" s="1071">
        <f t="shared" si="450"/>
        <v>0</v>
      </c>
    </row>
    <row r="2261" spans="9:17" ht="13.9" x14ac:dyDescent="0.4">
      <c r="I2261" s="1073">
        <f t="shared" si="449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8"/>
        <v>0</v>
      </c>
      <c r="P2261" s="158"/>
      <c r="Q2261" s="1071">
        <f t="shared" si="450"/>
        <v>0</v>
      </c>
    </row>
    <row r="2262" spans="9:17" ht="13.9" x14ac:dyDescent="0.4">
      <c r="I2262" s="1073">
        <f t="shared" si="449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8"/>
        <v>0</v>
      </c>
      <c r="P2262" s="158"/>
      <c r="Q2262" s="1071">
        <f t="shared" si="450"/>
        <v>0</v>
      </c>
    </row>
    <row r="2263" spans="9:17" ht="13.9" x14ac:dyDescent="0.4">
      <c r="I2263" s="1073">
        <f t="shared" si="449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8"/>
        <v>0</v>
      </c>
      <c r="P2263" s="158"/>
      <c r="Q2263" s="1071">
        <f t="shared" si="450"/>
        <v>0</v>
      </c>
    </row>
    <row r="2264" spans="9:17" ht="13.9" x14ac:dyDescent="0.4">
      <c r="I2264" s="1073">
        <f t="shared" si="449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8"/>
        <v>0</v>
      </c>
      <c r="P2264" s="158"/>
      <c r="Q2264" s="1071">
        <f t="shared" si="450"/>
        <v>0</v>
      </c>
    </row>
    <row r="2265" spans="9:17" ht="13.9" x14ac:dyDescent="0.4">
      <c r="I2265" s="1073">
        <f t="shared" si="449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8"/>
        <v>0</v>
      </c>
      <c r="P2265" s="158"/>
      <c r="Q2265" s="1071">
        <f t="shared" si="450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Nematicide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Growth Regulator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1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2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1"/>
        <v>0</v>
      </c>
      <c r="P2277" s="158"/>
      <c r="Q2277" s="1071">
        <f t="shared" ref="Q2277:Q2282" si="453">Q2276</f>
        <v>0</v>
      </c>
    </row>
    <row r="2278" spans="9:17" ht="13.9" x14ac:dyDescent="0.4">
      <c r="I2278" s="1073">
        <f t="shared" si="452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1"/>
        <v>0</v>
      </c>
      <c r="P2278" s="158"/>
      <c r="Q2278" s="1071">
        <f t="shared" si="453"/>
        <v>0</v>
      </c>
    </row>
    <row r="2279" spans="9:17" ht="13.9" x14ac:dyDescent="0.4">
      <c r="I2279" s="1073">
        <f t="shared" si="452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1"/>
        <v>0</v>
      </c>
      <c r="P2279" s="158"/>
      <c r="Q2279" s="1071">
        <f t="shared" si="453"/>
        <v>0</v>
      </c>
    </row>
    <row r="2280" spans="9:17" ht="13.9" x14ac:dyDescent="0.4">
      <c r="I2280" s="1073">
        <f t="shared" si="452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1"/>
        <v>0</v>
      </c>
      <c r="P2280" s="158"/>
      <c r="Q2280" s="1071">
        <f t="shared" si="453"/>
        <v>0</v>
      </c>
    </row>
    <row r="2281" spans="9:17" ht="13.9" x14ac:dyDescent="0.4">
      <c r="I2281" s="1073">
        <f t="shared" si="452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1"/>
        <v>0</v>
      </c>
      <c r="P2281" s="158"/>
      <c r="Q2281" s="1071">
        <f t="shared" si="453"/>
        <v>0</v>
      </c>
    </row>
    <row r="2282" spans="9:17" ht="13.9" x14ac:dyDescent="0.4">
      <c r="I2282" s="1073">
        <f t="shared" si="452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1"/>
        <v>0</v>
      </c>
      <c r="P2282" s="158"/>
      <c r="Q2282" s="1071">
        <f t="shared" si="453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Defoliant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4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5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4"/>
        <v>0</v>
      </c>
      <c r="P2288" s="158"/>
      <c r="Q2288" s="1071">
        <f t="shared" ref="Q2288:Q2293" si="456">Q2287</f>
        <v>0</v>
      </c>
    </row>
    <row r="2289" spans="9:17" ht="13.9" x14ac:dyDescent="0.4">
      <c r="I2289" s="1073">
        <f t="shared" si="455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4"/>
        <v>0</v>
      </c>
      <c r="P2289" s="158"/>
      <c r="Q2289" s="1071">
        <f t="shared" si="456"/>
        <v>0</v>
      </c>
    </row>
    <row r="2290" spans="9:17" ht="13.9" x14ac:dyDescent="0.4">
      <c r="I2290" s="1073">
        <f t="shared" si="455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4"/>
        <v>0</v>
      </c>
      <c r="P2290" s="158"/>
      <c r="Q2290" s="1071">
        <f t="shared" si="456"/>
        <v>0</v>
      </c>
    </row>
    <row r="2291" spans="9:17" ht="13.9" x14ac:dyDescent="0.4">
      <c r="I2291" s="1073">
        <f t="shared" si="455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4"/>
        <v>0</v>
      </c>
      <c r="P2291" s="158"/>
      <c r="Q2291" s="1071">
        <f t="shared" si="456"/>
        <v>0</v>
      </c>
    </row>
    <row r="2292" spans="9:17" ht="13.9" x14ac:dyDescent="0.4">
      <c r="I2292" s="1073">
        <f t="shared" si="455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4"/>
        <v>0</v>
      </c>
      <c r="P2292" s="158"/>
      <c r="Q2292" s="1071">
        <f t="shared" si="456"/>
        <v>0</v>
      </c>
    </row>
    <row r="2293" spans="9:17" ht="13.9" x14ac:dyDescent="0.4">
      <c r="I2293" s="1073">
        <f t="shared" si="455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4"/>
        <v>0</v>
      </c>
      <c r="P2293" s="158"/>
      <c r="Q2293" s="1071">
        <f t="shared" si="456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7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8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</v>
      </c>
      <c r="N2301" s="159">
        <v>0</v>
      </c>
      <c r="O2301" s="82">
        <f t="shared" si="457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8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7"/>
        <v>4.5</v>
      </c>
      <c r="P2302" s="160">
        <f>N2302*16</f>
        <v>32</v>
      </c>
      <c r="Q2302" s="1071">
        <f t="shared" ref="Q2302:Q2313" si="459">Q2301</f>
        <v>0</v>
      </c>
    </row>
    <row r="2303" spans="9:17" ht="13.9" x14ac:dyDescent="0.4">
      <c r="I2303" s="1073">
        <f t="shared" si="458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7"/>
        <v>6.25</v>
      </c>
      <c r="P2303" s="160">
        <f>N2303*16</f>
        <v>16</v>
      </c>
      <c r="Q2303" s="1071">
        <f t="shared" si="459"/>
        <v>0</v>
      </c>
    </row>
    <row r="2304" spans="9:17" ht="13.9" x14ac:dyDescent="0.4">
      <c r="I2304" s="1073">
        <f t="shared" si="458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7"/>
        <v>4</v>
      </c>
      <c r="P2304" s="160">
        <f>N2304*16</f>
        <v>25.6</v>
      </c>
      <c r="Q2304" s="1071">
        <f t="shared" si="459"/>
        <v>0</v>
      </c>
    </row>
    <row r="2305" spans="9:17" ht="13.9" x14ac:dyDescent="0.4">
      <c r="I2305" s="1073">
        <f t="shared" si="458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7"/>
        <v>7.375</v>
      </c>
      <c r="P2305" s="1449">
        <f>N2305</f>
        <v>32</v>
      </c>
      <c r="Q2305" s="1071">
        <f t="shared" si="459"/>
        <v>0</v>
      </c>
    </row>
    <row r="2306" spans="9:17" ht="13.9" x14ac:dyDescent="0.4">
      <c r="I2306" s="1073">
        <f t="shared" si="458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7"/>
        <v>9.375</v>
      </c>
      <c r="P2306" s="1449">
        <f>N2306</f>
        <v>12</v>
      </c>
      <c r="Q2306" s="1071">
        <f t="shared" si="459"/>
        <v>0</v>
      </c>
    </row>
    <row r="2307" spans="9:17" ht="13.9" x14ac:dyDescent="0.4">
      <c r="I2307" s="1073">
        <f t="shared" si="458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7"/>
        <v>5.0387500000000003</v>
      </c>
      <c r="P2307" s="160">
        <f>N2307*16</f>
        <v>16</v>
      </c>
      <c r="Q2307" s="1071">
        <f t="shared" si="459"/>
        <v>0</v>
      </c>
    </row>
    <row r="2308" spans="9:17" ht="13.9" x14ac:dyDescent="0.4">
      <c r="I2308" s="1073">
        <f t="shared" si="458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7"/>
        <v>5.0387500000000003</v>
      </c>
      <c r="P2308" s="160">
        <f>N2308*16</f>
        <v>16</v>
      </c>
      <c r="Q2308" s="1071">
        <f t="shared" si="459"/>
        <v>0</v>
      </c>
    </row>
    <row r="2309" spans="9:17" ht="13.9" x14ac:dyDescent="0.4">
      <c r="I2309" s="1073">
        <f t="shared" si="458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7"/>
        <v>9.2949999999999999</v>
      </c>
      <c r="P2309" s="1449">
        <f>N2309</f>
        <v>0.1</v>
      </c>
      <c r="Q2309" s="1071">
        <f t="shared" si="459"/>
        <v>0</v>
      </c>
    </row>
    <row r="2310" spans="9:17" ht="13.9" x14ac:dyDescent="0.4">
      <c r="I2310" s="1073">
        <f t="shared" si="458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7"/>
        <v>5.0387500000000003</v>
      </c>
      <c r="P2310" s="160">
        <f>N2310*16</f>
        <v>16</v>
      </c>
      <c r="Q2310" s="1071">
        <f t="shared" si="459"/>
        <v>0</v>
      </c>
    </row>
    <row r="2311" spans="9:17" ht="13.9" x14ac:dyDescent="0.4">
      <c r="I2311" s="1073">
        <f t="shared" si="458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7"/>
        <v>4.6875</v>
      </c>
      <c r="P2311" s="160">
        <f>N2311*16</f>
        <v>24</v>
      </c>
      <c r="Q2311" s="1071">
        <f t="shared" si="459"/>
        <v>0</v>
      </c>
    </row>
    <row r="2312" spans="9:17" ht="13.9" x14ac:dyDescent="0.4">
      <c r="I2312" s="1073">
        <f t="shared" si="458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7"/>
        <v>8.9275000000000002</v>
      </c>
      <c r="P2312" s="1449">
        <f>N2312</f>
        <v>2</v>
      </c>
      <c r="Q2312" s="1071">
        <f t="shared" si="459"/>
        <v>0</v>
      </c>
    </row>
    <row r="2313" spans="9:17" ht="13.9" x14ac:dyDescent="0.4">
      <c r="I2313" s="1073">
        <f t="shared" si="458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7"/>
        <v>21.5625</v>
      </c>
      <c r="P2313" s="160">
        <f>N2313*32</f>
        <v>48</v>
      </c>
      <c r="Q2313" s="1071">
        <f t="shared" si="459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60">M2318*N2318</f>
        <v>11.9</v>
      </c>
      <c r="P2318" s="1449">
        <f t="shared" ref="P2318:P2326" si="461">N2318</f>
        <v>2</v>
      </c>
      <c r="Q2318" s="1071">
        <f>Q2300</f>
        <v>0</v>
      </c>
    </row>
    <row r="2319" spans="9:17" ht="13.9" x14ac:dyDescent="0.4">
      <c r="I2319" s="1073">
        <f t="shared" ref="I2319:I2327" si="462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60"/>
        <v>7.1828124999999989</v>
      </c>
      <c r="P2319" s="1449">
        <f t="shared" si="461"/>
        <v>6</v>
      </c>
      <c r="Q2319" s="1071">
        <f>Q2318</f>
        <v>0</v>
      </c>
    </row>
    <row r="2320" spans="9:17" ht="13.9" x14ac:dyDescent="0.4">
      <c r="I2320" s="1073">
        <f t="shared" si="462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60"/>
        <v>11.9</v>
      </c>
      <c r="P2320" s="1449">
        <f t="shared" si="461"/>
        <v>2</v>
      </c>
      <c r="Q2320" s="1071">
        <f t="shared" ref="Q2320:Q2327" si="463">Q2319</f>
        <v>0</v>
      </c>
    </row>
    <row r="2321" spans="9:17" ht="13.9" x14ac:dyDescent="0.4">
      <c r="I2321" s="1073">
        <f t="shared" si="462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60"/>
        <v>7.1828124999999989</v>
      </c>
      <c r="P2321" s="1449">
        <f t="shared" si="461"/>
        <v>6</v>
      </c>
      <c r="Q2321" s="1071">
        <f t="shared" si="463"/>
        <v>0</v>
      </c>
    </row>
    <row r="2322" spans="9:17" ht="13.9" x14ac:dyDescent="0.4">
      <c r="I2322" s="1073">
        <f t="shared" si="462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60"/>
        <v>15.71875</v>
      </c>
      <c r="P2322" s="1449">
        <f t="shared" si="461"/>
        <v>2</v>
      </c>
      <c r="Q2322" s="1071">
        <f t="shared" si="463"/>
        <v>0</v>
      </c>
    </row>
    <row r="2323" spans="9:17" ht="13.9" x14ac:dyDescent="0.4">
      <c r="I2323" s="1073">
        <f t="shared" si="462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60"/>
        <v>21</v>
      </c>
      <c r="P2323" s="1449">
        <f t="shared" si="461"/>
        <v>20</v>
      </c>
      <c r="Q2323" s="1071">
        <f t="shared" si="463"/>
        <v>0</v>
      </c>
    </row>
    <row r="2324" spans="9:17" ht="13.9" x14ac:dyDescent="0.4">
      <c r="I2324" s="1073">
        <f t="shared" si="462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60"/>
        <v>15.71875</v>
      </c>
      <c r="P2324" s="1449">
        <f t="shared" si="461"/>
        <v>2</v>
      </c>
      <c r="Q2324" s="1071">
        <f t="shared" si="463"/>
        <v>0</v>
      </c>
    </row>
    <row r="2325" spans="9:17" ht="13.9" x14ac:dyDescent="0.4">
      <c r="I2325" s="1073">
        <f t="shared" si="462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60"/>
        <v>9.06</v>
      </c>
      <c r="P2325" s="1449">
        <f t="shared" si="461"/>
        <v>6</v>
      </c>
      <c r="Q2325" s="1071">
        <f t="shared" si="463"/>
        <v>0</v>
      </c>
    </row>
    <row r="2326" spans="9:17" ht="13.9" x14ac:dyDescent="0.4">
      <c r="I2326" s="1073">
        <f t="shared" si="462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60"/>
        <v>2.0160000000000005</v>
      </c>
      <c r="P2326" s="1449">
        <f t="shared" si="461"/>
        <v>3.6</v>
      </c>
      <c r="Q2326" s="1071">
        <f t="shared" si="463"/>
        <v>0</v>
      </c>
    </row>
    <row r="2327" spans="9:17" ht="13.9" x14ac:dyDescent="0.4">
      <c r="I2327" s="1073">
        <f t="shared" si="462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60"/>
        <v>0</v>
      </c>
      <c r="P2327" s="158"/>
      <c r="Q2327" s="1071">
        <f t="shared" si="463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Nematicide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Growth Regulator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4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5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4"/>
        <v>0.49796874999999996</v>
      </c>
      <c r="P2339" s="1449">
        <f>N2339</f>
        <v>10</v>
      </c>
      <c r="Q2339" s="1071">
        <f t="shared" ref="Q2339:Q2344" si="466">Q2338</f>
        <v>0</v>
      </c>
    </row>
    <row r="2340" spans="9:17" ht="13.9" x14ac:dyDescent="0.4">
      <c r="I2340" s="1073">
        <f t="shared" si="465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4"/>
        <v>0.5975625</v>
      </c>
      <c r="P2340" s="1449">
        <f>N2340</f>
        <v>12</v>
      </c>
      <c r="Q2340" s="1071">
        <f t="shared" si="466"/>
        <v>0</v>
      </c>
    </row>
    <row r="2341" spans="9:17" ht="13.9" x14ac:dyDescent="0.4">
      <c r="I2341" s="1073">
        <f t="shared" si="465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4"/>
        <v>0.5975625</v>
      </c>
      <c r="P2341" s="1449">
        <f>N2341</f>
        <v>12</v>
      </c>
      <c r="Q2341" s="1071">
        <f t="shared" si="466"/>
        <v>0</v>
      </c>
    </row>
    <row r="2342" spans="9:17" ht="13.9" x14ac:dyDescent="0.4">
      <c r="I2342" s="1073">
        <f t="shared" si="465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4"/>
        <v>0</v>
      </c>
      <c r="P2342" s="158"/>
      <c r="Q2342" s="1071">
        <f t="shared" si="466"/>
        <v>0</v>
      </c>
    </row>
    <row r="2343" spans="9:17" ht="13.9" x14ac:dyDescent="0.4">
      <c r="I2343" s="1073">
        <f t="shared" si="465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4"/>
        <v>0</v>
      </c>
      <c r="P2343" s="158"/>
      <c r="Q2343" s="1071">
        <f t="shared" si="466"/>
        <v>0</v>
      </c>
    </row>
    <row r="2344" spans="9:17" ht="13.9" x14ac:dyDescent="0.4">
      <c r="I2344" s="1073">
        <f t="shared" si="465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4"/>
        <v>0</v>
      </c>
      <c r="P2344" s="158"/>
      <c r="Q2344" s="1071">
        <f t="shared" si="466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Defoliant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7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8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7"/>
        <v>3.140625</v>
      </c>
      <c r="P2350" s="1449">
        <f>N2350</f>
        <v>6</v>
      </c>
      <c r="Q2350" s="1071">
        <f t="shared" ref="Q2350:Q2355" si="469">Q2349</f>
        <v>0</v>
      </c>
    </row>
    <row r="2351" spans="9:17" ht="13.9" x14ac:dyDescent="0.4">
      <c r="I2351" s="1073">
        <f t="shared" si="468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7"/>
        <v>1.6875</v>
      </c>
      <c r="P2351" s="1449">
        <f>N2351</f>
        <v>6</v>
      </c>
      <c r="Q2351" s="1071">
        <f t="shared" si="469"/>
        <v>0</v>
      </c>
    </row>
    <row r="2352" spans="9:17" ht="13.9" x14ac:dyDescent="0.4">
      <c r="I2352" s="1073">
        <f t="shared" si="468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7"/>
        <v>4.1875</v>
      </c>
      <c r="P2352" s="1449">
        <f>N2352</f>
        <v>8</v>
      </c>
      <c r="Q2352" s="1071">
        <f t="shared" si="469"/>
        <v>0</v>
      </c>
    </row>
    <row r="2353" spans="9:17" ht="13.9" x14ac:dyDescent="0.4">
      <c r="I2353" s="1073">
        <f t="shared" si="468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7"/>
        <v>9</v>
      </c>
      <c r="P2353" s="1449">
        <f>N2353</f>
        <v>32</v>
      </c>
      <c r="Q2353" s="1071">
        <f t="shared" si="469"/>
        <v>0</v>
      </c>
    </row>
    <row r="2354" spans="9:17" ht="13.9" x14ac:dyDescent="0.4">
      <c r="I2354" s="1073">
        <f t="shared" si="468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7"/>
        <v>0</v>
      </c>
      <c r="P2354" s="158"/>
      <c r="Q2354" s="1071">
        <f t="shared" si="469"/>
        <v>0</v>
      </c>
    </row>
    <row r="2355" spans="9:17" ht="13.9" x14ac:dyDescent="0.4">
      <c r="I2355" s="1073">
        <f t="shared" si="468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7"/>
        <v>0</v>
      </c>
      <c r="P2355" s="158"/>
      <c r="Q2355" s="1071">
        <f t="shared" si="469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70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1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70"/>
        <v>0</v>
      </c>
      <c r="P2363" s="160"/>
      <c r="Q2363" s="1071">
        <f>Q2362</f>
        <v>0</v>
      </c>
    </row>
    <row r="2364" spans="9:17" ht="13.9" x14ac:dyDescent="0.4">
      <c r="I2364" s="1073">
        <f t="shared" si="471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70"/>
        <v>0</v>
      </c>
      <c r="P2364" s="160"/>
      <c r="Q2364" s="1071">
        <f t="shared" ref="Q2364:Q2375" si="472">Q2363</f>
        <v>0</v>
      </c>
    </row>
    <row r="2365" spans="9:17" ht="13.9" x14ac:dyDescent="0.4">
      <c r="I2365" s="1073">
        <f t="shared" si="471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70"/>
        <v>0</v>
      </c>
      <c r="P2365" s="160"/>
      <c r="Q2365" s="1071">
        <f t="shared" si="472"/>
        <v>0</v>
      </c>
    </row>
    <row r="2366" spans="9:17" ht="13.9" x14ac:dyDescent="0.4">
      <c r="I2366" s="1073">
        <f t="shared" si="471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70"/>
        <v>0</v>
      </c>
      <c r="P2366" s="160"/>
      <c r="Q2366" s="1071">
        <f t="shared" si="472"/>
        <v>0</v>
      </c>
    </row>
    <row r="2367" spans="9:17" ht="13.9" x14ac:dyDescent="0.4">
      <c r="I2367" s="1073">
        <f t="shared" si="471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70"/>
        <v>0</v>
      </c>
      <c r="P2367" s="160"/>
      <c r="Q2367" s="1071">
        <f t="shared" si="472"/>
        <v>0</v>
      </c>
    </row>
    <row r="2368" spans="9:17" ht="13.9" x14ac:dyDescent="0.4">
      <c r="I2368" s="1073">
        <f t="shared" si="471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70"/>
        <v>0</v>
      </c>
      <c r="P2368" s="160"/>
      <c r="Q2368" s="1071">
        <f t="shared" si="472"/>
        <v>0</v>
      </c>
    </row>
    <row r="2369" spans="9:17" ht="13.9" x14ac:dyDescent="0.4">
      <c r="I2369" s="1073">
        <f t="shared" si="471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70"/>
        <v>0</v>
      </c>
      <c r="P2369" s="160"/>
      <c r="Q2369" s="1071">
        <f t="shared" si="472"/>
        <v>0</v>
      </c>
    </row>
    <row r="2370" spans="9:17" ht="13.9" x14ac:dyDescent="0.4">
      <c r="I2370" s="1073">
        <f t="shared" si="471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70"/>
        <v>0</v>
      </c>
      <c r="P2370" s="160"/>
      <c r="Q2370" s="1071">
        <f t="shared" si="472"/>
        <v>0</v>
      </c>
    </row>
    <row r="2371" spans="9:17" ht="13.9" x14ac:dyDescent="0.4">
      <c r="I2371" s="1073">
        <f t="shared" si="471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70"/>
        <v>0</v>
      </c>
      <c r="P2371" s="160"/>
      <c r="Q2371" s="1071">
        <f t="shared" si="472"/>
        <v>0</v>
      </c>
    </row>
    <row r="2372" spans="9:17" ht="13.9" x14ac:dyDescent="0.4">
      <c r="I2372" s="1073">
        <f t="shared" si="471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70"/>
        <v>0</v>
      </c>
      <c r="P2372" s="160"/>
      <c r="Q2372" s="1071">
        <f t="shared" si="472"/>
        <v>0</v>
      </c>
    </row>
    <row r="2373" spans="9:17" ht="13.9" x14ac:dyDescent="0.4">
      <c r="I2373" s="1073">
        <f t="shared" si="471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70"/>
        <v>0</v>
      </c>
      <c r="P2373" s="160"/>
      <c r="Q2373" s="1071">
        <f t="shared" si="472"/>
        <v>0</v>
      </c>
    </row>
    <row r="2374" spans="9:17" ht="13.9" x14ac:dyDescent="0.4">
      <c r="I2374" s="1073">
        <f t="shared" si="471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70"/>
        <v>0</v>
      </c>
      <c r="P2374" s="160"/>
      <c r="Q2374" s="1071">
        <f t="shared" si="472"/>
        <v>0</v>
      </c>
    </row>
    <row r="2375" spans="9:17" ht="13.9" x14ac:dyDescent="0.4">
      <c r="I2375" s="1073">
        <f t="shared" si="471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70"/>
        <v>0</v>
      </c>
      <c r="P2375" s="160"/>
      <c r="Q2375" s="1071">
        <f t="shared" si="472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3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4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3"/>
        <v>0</v>
      </c>
      <c r="P2381" s="160"/>
      <c r="Q2381" s="1071">
        <f>Q2380</f>
        <v>0</v>
      </c>
    </row>
    <row r="2382" spans="9:17" ht="13.9" x14ac:dyDescent="0.4">
      <c r="I2382" s="1073">
        <f t="shared" si="474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3"/>
        <v>0</v>
      </c>
      <c r="P2382" s="160"/>
      <c r="Q2382" s="1071">
        <f t="shared" ref="Q2382:Q2389" si="475">Q2381</f>
        <v>0</v>
      </c>
    </row>
    <row r="2383" spans="9:17" ht="13.9" x14ac:dyDescent="0.4">
      <c r="I2383" s="1073">
        <f t="shared" si="474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3"/>
        <v>0</v>
      </c>
      <c r="P2383" s="160"/>
      <c r="Q2383" s="1071">
        <f t="shared" si="475"/>
        <v>0</v>
      </c>
    </row>
    <row r="2384" spans="9:17" ht="13.9" x14ac:dyDescent="0.4">
      <c r="I2384" s="1073">
        <f t="shared" si="474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3"/>
        <v>0</v>
      </c>
      <c r="P2384" s="158"/>
      <c r="Q2384" s="1071">
        <f t="shared" si="475"/>
        <v>0</v>
      </c>
    </row>
    <row r="2385" spans="9:17" ht="13.9" x14ac:dyDescent="0.4">
      <c r="I2385" s="1073">
        <f t="shared" si="474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3"/>
        <v>0</v>
      </c>
      <c r="P2385" s="158"/>
      <c r="Q2385" s="1071">
        <f t="shared" si="475"/>
        <v>0</v>
      </c>
    </row>
    <row r="2386" spans="9:17" ht="13.9" x14ac:dyDescent="0.4">
      <c r="I2386" s="1073">
        <f t="shared" si="474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3"/>
        <v>0</v>
      </c>
      <c r="P2386" s="158"/>
      <c r="Q2386" s="1071">
        <f t="shared" si="475"/>
        <v>0</v>
      </c>
    </row>
    <row r="2387" spans="9:17" ht="13.9" x14ac:dyDescent="0.4">
      <c r="I2387" s="1073">
        <f t="shared" si="474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3"/>
        <v>0</v>
      </c>
      <c r="P2387" s="158"/>
      <c r="Q2387" s="1071">
        <f t="shared" si="475"/>
        <v>0</v>
      </c>
    </row>
    <row r="2388" spans="9:17" ht="13.9" x14ac:dyDescent="0.4">
      <c r="I2388" s="1073">
        <f t="shared" si="474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3"/>
        <v>0</v>
      </c>
      <c r="P2388" s="158"/>
      <c r="Q2388" s="1071">
        <f t="shared" si="475"/>
        <v>0</v>
      </c>
    </row>
    <row r="2389" spans="9:17" ht="13.9" x14ac:dyDescent="0.4">
      <c r="I2389" s="1073">
        <f t="shared" si="474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3"/>
        <v>0</v>
      </c>
      <c r="P2389" s="158"/>
      <c r="Q2389" s="1071">
        <f t="shared" si="475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Nematicide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Growth Regulator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6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7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6"/>
        <v>0</v>
      </c>
      <c r="P2401" s="160"/>
      <c r="Q2401" s="1071">
        <f t="shared" ref="Q2401:Q2406" si="478">Q2400</f>
        <v>0</v>
      </c>
    </row>
    <row r="2402" spans="9:17" ht="13.9" x14ac:dyDescent="0.4">
      <c r="I2402" s="1073">
        <f t="shared" si="477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6"/>
        <v>0</v>
      </c>
      <c r="P2402" s="160"/>
      <c r="Q2402" s="1071">
        <f t="shared" si="478"/>
        <v>0</v>
      </c>
    </row>
    <row r="2403" spans="9:17" ht="13.9" x14ac:dyDescent="0.4">
      <c r="I2403" s="1073">
        <f t="shared" si="477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6"/>
        <v>0</v>
      </c>
      <c r="P2403" s="158"/>
      <c r="Q2403" s="1071">
        <f t="shared" si="478"/>
        <v>0</v>
      </c>
    </row>
    <row r="2404" spans="9:17" ht="13.9" x14ac:dyDescent="0.4">
      <c r="I2404" s="1073">
        <f t="shared" si="477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6"/>
        <v>0</v>
      </c>
      <c r="P2404" s="158"/>
      <c r="Q2404" s="1071">
        <f t="shared" si="478"/>
        <v>0</v>
      </c>
    </row>
    <row r="2405" spans="9:17" ht="13.9" x14ac:dyDescent="0.4">
      <c r="I2405" s="1073">
        <f t="shared" si="477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6"/>
        <v>0</v>
      </c>
      <c r="P2405" s="158"/>
      <c r="Q2405" s="1071">
        <f t="shared" si="478"/>
        <v>0</v>
      </c>
    </row>
    <row r="2406" spans="9:17" ht="13.9" x14ac:dyDescent="0.4">
      <c r="I2406" s="1073">
        <f t="shared" si="477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6"/>
        <v>0</v>
      </c>
      <c r="P2406" s="158"/>
      <c r="Q2406" s="1071">
        <f t="shared" si="478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Defoliant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9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80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9"/>
        <v>0</v>
      </c>
      <c r="P2412" s="160"/>
      <c r="Q2412" s="1071">
        <f t="shared" ref="Q2412:Q2417" si="481">Q2411</f>
        <v>0</v>
      </c>
    </row>
    <row r="2413" spans="9:17" ht="13.9" x14ac:dyDescent="0.4">
      <c r="I2413" s="1073">
        <f t="shared" si="480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9"/>
        <v>0</v>
      </c>
      <c r="P2413" s="160"/>
      <c r="Q2413" s="1071">
        <f t="shared" si="481"/>
        <v>0</v>
      </c>
    </row>
    <row r="2414" spans="9:17" ht="13.9" x14ac:dyDescent="0.4">
      <c r="I2414" s="1073">
        <f t="shared" si="480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9"/>
        <v>0</v>
      </c>
      <c r="P2414" s="160"/>
      <c r="Q2414" s="1071">
        <f t="shared" si="481"/>
        <v>0</v>
      </c>
    </row>
    <row r="2415" spans="9:17" ht="13.9" x14ac:dyDescent="0.4">
      <c r="I2415" s="1073">
        <f t="shared" si="480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9"/>
        <v>0</v>
      </c>
      <c r="P2415" s="160"/>
      <c r="Q2415" s="1071">
        <f t="shared" si="481"/>
        <v>0</v>
      </c>
    </row>
    <row r="2416" spans="9:17" ht="13.9" x14ac:dyDescent="0.4">
      <c r="I2416" s="1073">
        <f t="shared" si="480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9"/>
        <v>0</v>
      </c>
      <c r="P2416" s="158"/>
      <c r="Q2416" s="1071">
        <f t="shared" si="481"/>
        <v>0</v>
      </c>
    </row>
    <row r="2417" spans="9:17" ht="13.9" x14ac:dyDescent="0.4">
      <c r="I2417" s="1073">
        <f t="shared" si="480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9"/>
        <v>0</v>
      </c>
      <c r="P2417" s="158"/>
      <c r="Q2417" s="1071">
        <f t="shared" si="481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2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3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2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3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2"/>
        <v>0.21914062500000001</v>
      </c>
      <c r="P2426" s="160">
        <f>N2426*16</f>
        <v>5.28</v>
      </c>
      <c r="Q2426" s="1071">
        <f t="shared" ref="Q2426:Q2437" si="484">Q2425</f>
        <v>0</v>
      </c>
    </row>
    <row r="2427" spans="9:17" ht="13.9" x14ac:dyDescent="0.4">
      <c r="I2427" s="1073">
        <f t="shared" si="483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2"/>
        <v>108.48</v>
      </c>
      <c r="P2427" s="1449">
        <f>N2427</f>
        <v>32</v>
      </c>
      <c r="Q2427" s="1071">
        <f t="shared" si="484"/>
        <v>0</v>
      </c>
    </row>
    <row r="2428" spans="9:17" ht="13.9" x14ac:dyDescent="0.4">
      <c r="I2428" s="1073">
        <f t="shared" si="483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2"/>
        <v>1.1484375</v>
      </c>
      <c r="P2428" s="160">
        <f>N2428*16</f>
        <v>48</v>
      </c>
      <c r="Q2428" s="1071">
        <f t="shared" si="484"/>
        <v>0</v>
      </c>
    </row>
    <row r="2429" spans="9:17" ht="13.9" x14ac:dyDescent="0.4">
      <c r="I2429" s="1073">
        <f t="shared" si="483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2"/>
        <v>35.396250000000002</v>
      </c>
      <c r="P2429" s="1449">
        <f>N2429</f>
        <v>24</v>
      </c>
      <c r="Q2429" s="1071">
        <f t="shared" si="484"/>
        <v>0</v>
      </c>
    </row>
    <row r="2430" spans="9:17" ht="13.9" x14ac:dyDescent="0.4">
      <c r="I2430" s="1073">
        <f t="shared" si="483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2"/>
        <v>108.48</v>
      </c>
      <c r="P2430" s="1449">
        <f>N2430</f>
        <v>32</v>
      </c>
      <c r="Q2430" s="1071">
        <f t="shared" si="484"/>
        <v>0</v>
      </c>
    </row>
    <row r="2431" spans="9:17" ht="13.9" x14ac:dyDescent="0.4">
      <c r="I2431" s="1073">
        <f t="shared" si="483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2"/>
        <v>0</v>
      </c>
      <c r="P2431" s="160"/>
      <c r="Q2431" s="1071">
        <f t="shared" si="484"/>
        <v>0</v>
      </c>
    </row>
    <row r="2432" spans="9:17" ht="13.9" x14ac:dyDescent="0.4">
      <c r="I2432" s="1073">
        <f t="shared" si="483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2"/>
        <v>0</v>
      </c>
      <c r="P2432" s="160"/>
      <c r="Q2432" s="1071">
        <f t="shared" si="484"/>
        <v>0</v>
      </c>
    </row>
    <row r="2433" spans="9:17" ht="13.9" x14ac:dyDescent="0.4">
      <c r="I2433" s="1073">
        <f t="shared" si="483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2"/>
        <v>0</v>
      </c>
      <c r="P2433" s="160"/>
      <c r="Q2433" s="1071">
        <f t="shared" si="484"/>
        <v>0</v>
      </c>
    </row>
    <row r="2434" spans="9:17" ht="13.9" x14ac:dyDescent="0.4">
      <c r="I2434" s="1073">
        <f t="shared" si="483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2"/>
        <v>0</v>
      </c>
      <c r="P2434" s="160"/>
      <c r="Q2434" s="1071">
        <f t="shared" si="484"/>
        <v>0</v>
      </c>
    </row>
    <row r="2435" spans="9:17" ht="13.9" x14ac:dyDescent="0.4">
      <c r="I2435" s="1073">
        <f t="shared" si="483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2"/>
        <v>0</v>
      </c>
      <c r="P2435" s="160"/>
      <c r="Q2435" s="1071">
        <f t="shared" si="484"/>
        <v>0</v>
      </c>
    </row>
    <row r="2436" spans="9:17" ht="13.9" x14ac:dyDescent="0.4">
      <c r="I2436" s="1073">
        <f t="shared" si="483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2"/>
        <v>0</v>
      </c>
      <c r="P2436" s="160"/>
      <c r="Q2436" s="1071">
        <f t="shared" si="484"/>
        <v>0</v>
      </c>
    </row>
    <row r="2437" spans="9:17" ht="13.9" x14ac:dyDescent="0.4">
      <c r="I2437" s="1073">
        <f t="shared" si="483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2"/>
        <v>0</v>
      </c>
      <c r="P2437" s="160"/>
      <c r="Q2437" s="1071">
        <f t="shared" si="484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5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6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5"/>
        <v>0</v>
      </c>
      <c r="P2443" s="160"/>
      <c r="Q2443" s="1071">
        <f>Q2442</f>
        <v>0</v>
      </c>
    </row>
    <row r="2444" spans="9:17" ht="13.9" x14ac:dyDescent="0.4">
      <c r="I2444" s="1073">
        <f t="shared" si="486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5"/>
        <v>0</v>
      </c>
      <c r="P2444" s="160"/>
      <c r="Q2444" s="1071">
        <f t="shared" ref="Q2444:Q2451" si="487">Q2443</f>
        <v>0</v>
      </c>
    </row>
    <row r="2445" spans="9:17" ht="13.9" x14ac:dyDescent="0.4">
      <c r="I2445" s="1073">
        <f t="shared" si="486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5"/>
        <v>0</v>
      </c>
      <c r="P2445" s="160"/>
      <c r="Q2445" s="1071">
        <f t="shared" si="487"/>
        <v>0</v>
      </c>
    </row>
    <row r="2446" spans="9:17" ht="13.9" x14ac:dyDescent="0.4">
      <c r="I2446" s="1073">
        <f t="shared" si="486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5"/>
        <v>0</v>
      </c>
      <c r="P2446" s="158"/>
      <c r="Q2446" s="1071">
        <f t="shared" si="487"/>
        <v>0</v>
      </c>
    </row>
    <row r="2447" spans="9:17" ht="13.9" x14ac:dyDescent="0.4">
      <c r="I2447" s="1073">
        <f t="shared" si="486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5"/>
        <v>0</v>
      </c>
      <c r="P2447" s="158"/>
      <c r="Q2447" s="1071">
        <f t="shared" si="487"/>
        <v>0</v>
      </c>
    </row>
    <row r="2448" spans="9:17" ht="13.9" x14ac:dyDescent="0.4">
      <c r="I2448" s="1073">
        <f t="shared" si="486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5"/>
        <v>0</v>
      </c>
      <c r="P2448" s="158"/>
      <c r="Q2448" s="1071">
        <f t="shared" si="487"/>
        <v>0</v>
      </c>
    </row>
    <row r="2449" spans="9:17" ht="13.9" x14ac:dyDescent="0.4">
      <c r="I2449" s="1073">
        <f t="shared" si="486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5"/>
        <v>0</v>
      </c>
      <c r="P2449" s="158"/>
      <c r="Q2449" s="1071">
        <f t="shared" si="487"/>
        <v>0</v>
      </c>
    </row>
    <row r="2450" spans="9:17" ht="13.9" x14ac:dyDescent="0.4">
      <c r="I2450" s="1073">
        <f t="shared" si="486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5"/>
        <v>0</v>
      </c>
      <c r="P2450" s="158"/>
      <c r="Q2450" s="1071">
        <f t="shared" si="487"/>
        <v>0</v>
      </c>
    </row>
    <row r="2451" spans="9:17" ht="13.9" x14ac:dyDescent="0.4">
      <c r="I2451" s="1073">
        <f t="shared" si="486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5"/>
        <v>0</v>
      </c>
      <c r="P2451" s="158"/>
      <c r="Q2451" s="1071">
        <f t="shared" si="487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Nematicide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Growth Regulator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8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9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8"/>
        <v>0</v>
      </c>
      <c r="P2463" s="160"/>
      <c r="Q2463" s="1071">
        <f t="shared" ref="Q2463:Q2468" si="490">Q2462</f>
        <v>0</v>
      </c>
    </row>
    <row r="2464" spans="9:17" ht="13.9" x14ac:dyDescent="0.4">
      <c r="I2464" s="1073">
        <f t="shared" si="489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8"/>
        <v>0</v>
      </c>
      <c r="P2464" s="160"/>
      <c r="Q2464" s="1071">
        <f t="shared" si="490"/>
        <v>0</v>
      </c>
    </row>
    <row r="2465" spans="9:17" ht="13.9" x14ac:dyDescent="0.4">
      <c r="I2465" s="1073">
        <f t="shared" si="489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8"/>
        <v>0</v>
      </c>
      <c r="P2465" s="158"/>
      <c r="Q2465" s="1071">
        <f t="shared" si="490"/>
        <v>0</v>
      </c>
    </row>
    <row r="2466" spans="9:17" ht="13.9" x14ac:dyDescent="0.4">
      <c r="I2466" s="1073">
        <f t="shared" si="489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8"/>
        <v>0</v>
      </c>
      <c r="P2466" s="158"/>
      <c r="Q2466" s="1071">
        <f t="shared" si="490"/>
        <v>0</v>
      </c>
    </row>
    <row r="2467" spans="9:17" ht="13.9" x14ac:dyDescent="0.4">
      <c r="I2467" s="1073">
        <f t="shared" si="489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8"/>
        <v>0</v>
      </c>
      <c r="P2467" s="158"/>
      <c r="Q2467" s="1071">
        <f t="shared" si="490"/>
        <v>0</v>
      </c>
    </row>
    <row r="2468" spans="9:17" ht="13.9" x14ac:dyDescent="0.4">
      <c r="I2468" s="1073">
        <f t="shared" si="489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8"/>
        <v>0</v>
      </c>
      <c r="P2468" s="158"/>
      <c r="Q2468" s="1071">
        <f t="shared" si="490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Defoliant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1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2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1"/>
        <v>0</v>
      </c>
      <c r="P2474" s="160"/>
      <c r="Q2474" s="1071">
        <f t="shared" ref="Q2474:Q2479" si="493">Q2473</f>
        <v>0</v>
      </c>
    </row>
    <row r="2475" spans="9:17" ht="13.9" x14ac:dyDescent="0.4">
      <c r="I2475" s="1073">
        <f t="shared" si="492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1"/>
        <v>0</v>
      </c>
      <c r="P2475" s="160"/>
      <c r="Q2475" s="1071">
        <f t="shared" si="493"/>
        <v>0</v>
      </c>
    </row>
    <row r="2476" spans="9:17" ht="13.9" x14ac:dyDescent="0.4">
      <c r="I2476" s="1073">
        <f t="shared" si="492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1"/>
        <v>0</v>
      </c>
      <c r="P2476" s="160"/>
      <c r="Q2476" s="1071">
        <f t="shared" si="493"/>
        <v>0</v>
      </c>
    </row>
    <row r="2477" spans="9:17" ht="13.9" x14ac:dyDescent="0.4">
      <c r="I2477" s="1073">
        <f t="shared" si="492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1"/>
        <v>0</v>
      </c>
      <c r="P2477" s="160"/>
      <c r="Q2477" s="1071">
        <f t="shared" si="493"/>
        <v>0</v>
      </c>
    </row>
    <row r="2478" spans="9:17" ht="13.9" x14ac:dyDescent="0.4">
      <c r="I2478" s="1073">
        <f t="shared" si="492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1"/>
        <v>0</v>
      </c>
      <c r="P2478" s="158"/>
      <c r="Q2478" s="1071">
        <f t="shared" si="493"/>
        <v>0</v>
      </c>
    </row>
    <row r="2479" spans="9:17" ht="13.9" x14ac:dyDescent="0.4">
      <c r="I2479" s="1073">
        <f t="shared" si="492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1"/>
        <v>0</v>
      </c>
      <c r="P2479" s="158"/>
      <c r="Q2479" s="1071">
        <f t="shared" si="493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4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5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4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5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4"/>
        <v>110.432</v>
      </c>
      <c r="P2488" s="1449">
        <f>N2488</f>
        <v>6.4</v>
      </c>
      <c r="Q2488" s="1071">
        <f t="shared" ref="Q2488:Q2499" si="496">Q2487</f>
        <v>0</v>
      </c>
    </row>
    <row r="2489" spans="9:17" ht="13.9" x14ac:dyDescent="0.4">
      <c r="I2489" s="1073">
        <f t="shared" si="495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4"/>
        <v>13.28125</v>
      </c>
      <c r="P2489" s="1449">
        <f>N2489</f>
        <v>4</v>
      </c>
      <c r="Q2489" s="1071">
        <f t="shared" si="496"/>
        <v>0</v>
      </c>
    </row>
    <row r="2490" spans="9:17" ht="13.9" x14ac:dyDescent="0.4">
      <c r="I2490" s="1073">
        <f t="shared" si="495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4"/>
        <v>27.608000000000001</v>
      </c>
      <c r="P2490" s="1449">
        <f>N2490</f>
        <v>1.6</v>
      </c>
      <c r="Q2490" s="1071">
        <f t="shared" si="496"/>
        <v>0</v>
      </c>
    </row>
    <row r="2491" spans="9:17" ht="13.9" x14ac:dyDescent="0.4">
      <c r="I2491" s="1073">
        <f t="shared" si="495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4"/>
        <v>0</v>
      </c>
      <c r="P2491" s="160"/>
      <c r="Q2491" s="1071">
        <f t="shared" si="496"/>
        <v>0</v>
      </c>
    </row>
    <row r="2492" spans="9:17" ht="13.9" x14ac:dyDescent="0.4">
      <c r="I2492" s="1073">
        <f t="shared" si="495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4"/>
        <v>0</v>
      </c>
      <c r="P2492" s="160"/>
      <c r="Q2492" s="1071">
        <f t="shared" si="496"/>
        <v>0</v>
      </c>
    </row>
    <row r="2493" spans="9:17" ht="13.9" x14ac:dyDescent="0.4">
      <c r="I2493" s="1073">
        <f t="shared" si="495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4"/>
        <v>0</v>
      </c>
      <c r="P2493" s="160"/>
      <c r="Q2493" s="1071">
        <f t="shared" si="496"/>
        <v>0</v>
      </c>
    </row>
    <row r="2494" spans="9:17" ht="13.9" x14ac:dyDescent="0.4">
      <c r="I2494" s="1073">
        <f t="shared" si="495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4"/>
        <v>0</v>
      </c>
      <c r="P2494" s="160"/>
      <c r="Q2494" s="1071">
        <f t="shared" si="496"/>
        <v>0</v>
      </c>
    </row>
    <row r="2495" spans="9:17" ht="13.9" x14ac:dyDescent="0.4">
      <c r="I2495" s="1073">
        <f t="shared" si="495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4"/>
        <v>0</v>
      </c>
      <c r="P2495" s="160"/>
      <c r="Q2495" s="1071">
        <f t="shared" si="496"/>
        <v>0</v>
      </c>
    </row>
    <row r="2496" spans="9:17" ht="13.9" x14ac:dyDescent="0.4">
      <c r="I2496" s="1073">
        <f t="shared" si="495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4"/>
        <v>0</v>
      </c>
      <c r="P2496" s="160"/>
      <c r="Q2496" s="1071">
        <f t="shared" si="496"/>
        <v>0</v>
      </c>
    </row>
    <row r="2497" spans="9:17" ht="13.9" x14ac:dyDescent="0.4">
      <c r="I2497" s="1073">
        <f t="shared" si="495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4"/>
        <v>0</v>
      </c>
      <c r="P2497" s="160"/>
      <c r="Q2497" s="1071">
        <f t="shared" si="496"/>
        <v>0</v>
      </c>
    </row>
    <row r="2498" spans="9:17" ht="13.9" x14ac:dyDescent="0.4">
      <c r="I2498" s="1073">
        <f t="shared" si="495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4"/>
        <v>0</v>
      </c>
      <c r="P2498" s="160"/>
      <c r="Q2498" s="1071">
        <f t="shared" si="496"/>
        <v>0</v>
      </c>
    </row>
    <row r="2499" spans="9:17" ht="13.9" x14ac:dyDescent="0.4">
      <c r="I2499" s="1073">
        <f t="shared" si="495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4"/>
        <v>0</v>
      </c>
      <c r="P2499" s="160"/>
      <c r="Q2499" s="1071">
        <f t="shared" si="496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7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8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7"/>
        <v>0</v>
      </c>
      <c r="P2505" s="160"/>
      <c r="Q2505" s="1071">
        <f>Q2504</f>
        <v>0</v>
      </c>
    </row>
    <row r="2506" spans="9:17" ht="13.9" x14ac:dyDescent="0.4">
      <c r="I2506" s="1073">
        <f t="shared" si="498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7"/>
        <v>0</v>
      </c>
      <c r="P2506" s="160"/>
      <c r="Q2506" s="1071">
        <f t="shared" ref="Q2506:Q2513" si="499">Q2505</f>
        <v>0</v>
      </c>
    </row>
    <row r="2507" spans="9:17" ht="13.9" x14ac:dyDescent="0.4">
      <c r="I2507" s="1073">
        <f t="shared" si="498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7"/>
        <v>0</v>
      </c>
      <c r="P2507" s="160"/>
      <c r="Q2507" s="1071">
        <f t="shared" si="499"/>
        <v>0</v>
      </c>
    </row>
    <row r="2508" spans="9:17" ht="13.9" x14ac:dyDescent="0.4">
      <c r="I2508" s="1073">
        <f t="shared" si="498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7"/>
        <v>0</v>
      </c>
      <c r="P2508" s="158"/>
      <c r="Q2508" s="1071">
        <f t="shared" si="499"/>
        <v>0</v>
      </c>
    </row>
    <row r="2509" spans="9:17" ht="13.9" x14ac:dyDescent="0.4">
      <c r="I2509" s="1073">
        <f t="shared" si="498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7"/>
        <v>0</v>
      </c>
      <c r="P2509" s="158"/>
      <c r="Q2509" s="1071">
        <f t="shared" si="499"/>
        <v>0</v>
      </c>
    </row>
    <row r="2510" spans="9:17" ht="13.9" x14ac:dyDescent="0.4">
      <c r="I2510" s="1073">
        <f t="shared" si="498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7"/>
        <v>0</v>
      </c>
      <c r="P2510" s="158"/>
      <c r="Q2510" s="1071">
        <f t="shared" si="499"/>
        <v>0</v>
      </c>
    </row>
    <row r="2511" spans="9:17" ht="13.9" x14ac:dyDescent="0.4">
      <c r="I2511" s="1073">
        <f t="shared" si="498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7"/>
        <v>0</v>
      </c>
      <c r="P2511" s="158"/>
      <c r="Q2511" s="1071">
        <f t="shared" si="499"/>
        <v>0</v>
      </c>
    </row>
    <row r="2512" spans="9:17" ht="13.9" x14ac:dyDescent="0.4">
      <c r="I2512" s="1073">
        <f t="shared" si="498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7"/>
        <v>0</v>
      </c>
      <c r="P2512" s="158"/>
      <c r="Q2512" s="1071">
        <f t="shared" si="499"/>
        <v>0</v>
      </c>
    </row>
    <row r="2513" spans="9:17" ht="13.9" x14ac:dyDescent="0.4">
      <c r="I2513" s="1073">
        <f t="shared" si="498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7"/>
        <v>0</v>
      </c>
      <c r="P2513" s="158"/>
      <c r="Q2513" s="1071">
        <f t="shared" si="499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Nematicide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Growth Regulator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500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1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500"/>
        <v>0</v>
      </c>
      <c r="P2525" s="160"/>
      <c r="Q2525" s="1071">
        <f t="shared" ref="Q2525:Q2530" si="502">Q2524</f>
        <v>0</v>
      </c>
    </row>
    <row r="2526" spans="9:17" ht="13.9" x14ac:dyDescent="0.4">
      <c r="I2526" s="1073">
        <f t="shared" si="501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500"/>
        <v>0</v>
      </c>
      <c r="P2526" s="160"/>
      <c r="Q2526" s="1071">
        <f t="shared" si="502"/>
        <v>0</v>
      </c>
    </row>
    <row r="2527" spans="9:17" ht="13.9" x14ac:dyDescent="0.4">
      <c r="I2527" s="1073">
        <f t="shared" si="501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500"/>
        <v>0</v>
      </c>
      <c r="P2527" s="158"/>
      <c r="Q2527" s="1071">
        <f t="shared" si="502"/>
        <v>0</v>
      </c>
    </row>
    <row r="2528" spans="9:17" ht="13.9" x14ac:dyDescent="0.4">
      <c r="I2528" s="1073">
        <f t="shared" si="501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500"/>
        <v>0</v>
      </c>
      <c r="P2528" s="158"/>
      <c r="Q2528" s="1071">
        <f t="shared" si="502"/>
        <v>0</v>
      </c>
    </row>
    <row r="2529" spans="9:17" ht="13.9" x14ac:dyDescent="0.4">
      <c r="I2529" s="1073">
        <f t="shared" si="501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500"/>
        <v>0</v>
      </c>
      <c r="P2529" s="158"/>
      <c r="Q2529" s="1071">
        <f t="shared" si="502"/>
        <v>0</v>
      </c>
    </row>
    <row r="2530" spans="9:17" ht="13.9" x14ac:dyDescent="0.4">
      <c r="I2530" s="1073">
        <f t="shared" si="501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500"/>
        <v>0</v>
      </c>
      <c r="P2530" s="158"/>
      <c r="Q2530" s="1071">
        <f t="shared" si="502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Defoliant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3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4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3"/>
        <v>0</v>
      </c>
      <c r="P2536" s="160"/>
      <c r="Q2536" s="1071">
        <f t="shared" ref="Q2536:Q2541" si="505">Q2535</f>
        <v>0</v>
      </c>
    </row>
    <row r="2537" spans="9:17" ht="13.9" x14ac:dyDescent="0.4">
      <c r="I2537" s="1073">
        <f t="shared" si="504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3"/>
        <v>0</v>
      </c>
      <c r="P2537" s="160"/>
      <c r="Q2537" s="1071">
        <f t="shared" si="505"/>
        <v>0</v>
      </c>
    </row>
    <row r="2538" spans="9:17" ht="13.9" x14ac:dyDescent="0.4">
      <c r="I2538" s="1073">
        <f t="shared" si="504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3"/>
        <v>0</v>
      </c>
      <c r="P2538" s="160"/>
      <c r="Q2538" s="1071">
        <f t="shared" si="505"/>
        <v>0</v>
      </c>
    </row>
    <row r="2539" spans="9:17" ht="13.9" x14ac:dyDescent="0.4">
      <c r="I2539" s="1073">
        <f t="shared" si="504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3"/>
        <v>0</v>
      </c>
      <c r="P2539" s="160"/>
      <c r="Q2539" s="1071">
        <f t="shared" si="505"/>
        <v>0</v>
      </c>
    </row>
    <row r="2540" spans="9:17" ht="13.9" x14ac:dyDescent="0.4">
      <c r="I2540" s="1073">
        <f t="shared" si="504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3"/>
        <v>0</v>
      </c>
      <c r="P2540" s="158"/>
      <c r="Q2540" s="1071">
        <f t="shared" si="505"/>
        <v>0</v>
      </c>
    </row>
    <row r="2541" spans="9:17" ht="13.9" x14ac:dyDescent="0.4">
      <c r="I2541" s="1073">
        <f t="shared" si="504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3"/>
        <v>0</v>
      </c>
      <c r="P2541" s="158"/>
      <c r="Q2541" s="1071">
        <f t="shared" si="505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6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7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6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7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6"/>
        <v>0.21914062500000001</v>
      </c>
      <c r="P2550" s="160">
        <f>N2550*16</f>
        <v>5.28</v>
      </c>
      <c r="Q2550" s="1071">
        <f t="shared" ref="Q2550:Q2561" si="508">Q2549</f>
        <v>0</v>
      </c>
    </row>
    <row r="2551" spans="9:17" ht="13.9" x14ac:dyDescent="0.4">
      <c r="I2551" s="1073">
        <f t="shared" si="507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6"/>
        <v>108.48</v>
      </c>
      <c r="P2551" s="1449">
        <f>N2551</f>
        <v>32</v>
      </c>
      <c r="Q2551" s="1071">
        <f t="shared" si="508"/>
        <v>0</v>
      </c>
    </row>
    <row r="2552" spans="9:17" ht="13.9" x14ac:dyDescent="0.4">
      <c r="I2552" s="1073">
        <f t="shared" si="507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6"/>
        <v>1.1484375</v>
      </c>
      <c r="P2552" s="160">
        <f>N2552*16</f>
        <v>48</v>
      </c>
      <c r="Q2552" s="1071">
        <f t="shared" si="508"/>
        <v>0</v>
      </c>
    </row>
    <row r="2553" spans="9:17" ht="13.9" x14ac:dyDescent="0.4">
      <c r="I2553" s="1073">
        <f t="shared" si="507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6"/>
        <v>35.396250000000002</v>
      </c>
      <c r="P2553" s="1449">
        <f>N2553</f>
        <v>24</v>
      </c>
      <c r="Q2553" s="1071">
        <f t="shared" si="508"/>
        <v>0</v>
      </c>
    </row>
    <row r="2554" spans="9:17" ht="13.9" x14ac:dyDescent="0.4">
      <c r="I2554" s="1073">
        <f t="shared" si="507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6"/>
        <v>108.48</v>
      </c>
      <c r="P2554" s="1449">
        <f>N2554</f>
        <v>32</v>
      </c>
      <c r="Q2554" s="1071">
        <f t="shared" si="508"/>
        <v>0</v>
      </c>
    </row>
    <row r="2555" spans="9:17" ht="13.9" x14ac:dyDescent="0.4">
      <c r="I2555" s="1073">
        <f t="shared" si="507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6"/>
        <v>0</v>
      </c>
      <c r="P2555" s="160"/>
      <c r="Q2555" s="1071">
        <f t="shared" si="508"/>
        <v>0</v>
      </c>
    </row>
    <row r="2556" spans="9:17" ht="13.9" x14ac:dyDescent="0.4">
      <c r="I2556" s="1073">
        <f t="shared" si="507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6"/>
        <v>0</v>
      </c>
      <c r="P2556" s="160"/>
      <c r="Q2556" s="1071">
        <f t="shared" si="508"/>
        <v>0</v>
      </c>
    </row>
    <row r="2557" spans="9:17" ht="13.9" x14ac:dyDescent="0.4">
      <c r="I2557" s="1073">
        <f t="shared" si="507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6"/>
        <v>0</v>
      </c>
      <c r="P2557" s="160"/>
      <c r="Q2557" s="1071">
        <f t="shared" si="508"/>
        <v>0</v>
      </c>
    </row>
    <row r="2558" spans="9:17" ht="13.9" x14ac:dyDescent="0.4">
      <c r="I2558" s="1073">
        <f t="shared" si="507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6"/>
        <v>0</v>
      </c>
      <c r="P2558" s="160"/>
      <c r="Q2558" s="1071">
        <f t="shared" si="508"/>
        <v>0</v>
      </c>
    </row>
    <row r="2559" spans="9:17" ht="13.9" x14ac:dyDescent="0.4">
      <c r="I2559" s="1073">
        <f t="shared" si="507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6"/>
        <v>0</v>
      </c>
      <c r="P2559" s="160"/>
      <c r="Q2559" s="1071">
        <f t="shared" si="508"/>
        <v>0</v>
      </c>
    </row>
    <row r="2560" spans="9:17" ht="13.9" x14ac:dyDescent="0.4">
      <c r="I2560" s="1073">
        <f t="shared" si="507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6"/>
        <v>0</v>
      </c>
      <c r="P2560" s="160"/>
      <c r="Q2560" s="1071">
        <f t="shared" si="508"/>
        <v>0</v>
      </c>
    </row>
    <row r="2561" spans="9:17" ht="13.9" x14ac:dyDescent="0.4">
      <c r="I2561" s="1073">
        <f t="shared" si="507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6"/>
        <v>0</v>
      </c>
      <c r="P2561" s="160"/>
      <c r="Q2561" s="1071">
        <f t="shared" si="508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9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10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9"/>
        <v>0</v>
      </c>
      <c r="P2567" s="160"/>
      <c r="Q2567" s="1071">
        <f>Q2566</f>
        <v>0</v>
      </c>
    </row>
    <row r="2568" spans="9:17" ht="13.9" x14ac:dyDescent="0.4">
      <c r="I2568" s="1073">
        <f t="shared" si="510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9"/>
        <v>0</v>
      </c>
      <c r="P2568" s="160"/>
      <c r="Q2568" s="1071">
        <f t="shared" ref="Q2568:Q2575" si="511">Q2567</f>
        <v>0</v>
      </c>
    </row>
    <row r="2569" spans="9:17" ht="13.9" x14ac:dyDescent="0.4">
      <c r="I2569" s="1073">
        <f t="shared" si="510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9"/>
        <v>0</v>
      </c>
      <c r="P2569" s="160"/>
      <c r="Q2569" s="1071">
        <f t="shared" si="511"/>
        <v>0</v>
      </c>
    </row>
    <row r="2570" spans="9:17" ht="13.9" x14ac:dyDescent="0.4">
      <c r="I2570" s="1073">
        <f t="shared" si="510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9"/>
        <v>0</v>
      </c>
      <c r="P2570" s="158"/>
      <c r="Q2570" s="1071">
        <f t="shared" si="511"/>
        <v>0</v>
      </c>
    </row>
    <row r="2571" spans="9:17" ht="13.9" x14ac:dyDescent="0.4">
      <c r="I2571" s="1073">
        <f t="shared" si="510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9"/>
        <v>0</v>
      </c>
      <c r="P2571" s="158"/>
      <c r="Q2571" s="1071">
        <f t="shared" si="511"/>
        <v>0</v>
      </c>
    </row>
    <row r="2572" spans="9:17" ht="13.9" x14ac:dyDescent="0.4">
      <c r="I2572" s="1073">
        <f t="shared" si="510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9"/>
        <v>0</v>
      </c>
      <c r="P2572" s="158"/>
      <c r="Q2572" s="1071">
        <f t="shared" si="511"/>
        <v>0</v>
      </c>
    </row>
    <row r="2573" spans="9:17" ht="13.9" x14ac:dyDescent="0.4">
      <c r="I2573" s="1073">
        <f t="shared" si="510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9"/>
        <v>0</v>
      </c>
      <c r="P2573" s="158"/>
      <c r="Q2573" s="1071">
        <f t="shared" si="511"/>
        <v>0</v>
      </c>
    </row>
    <row r="2574" spans="9:17" ht="13.9" x14ac:dyDescent="0.4">
      <c r="I2574" s="1073">
        <f t="shared" si="510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9"/>
        <v>0</v>
      </c>
      <c r="P2574" s="158"/>
      <c r="Q2574" s="1071">
        <f t="shared" si="511"/>
        <v>0</v>
      </c>
    </row>
    <row r="2575" spans="9:17" ht="13.9" x14ac:dyDescent="0.4">
      <c r="I2575" s="1073">
        <f t="shared" si="510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9"/>
        <v>0</v>
      </c>
      <c r="P2575" s="158"/>
      <c r="Q2575" s="1071">
        <f t="shared" si="511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Nematicide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Growth Regulator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2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3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2"/>
        <v>0</v>
      </c>
      <c r="P2587" s="160"/>
      <c r="Q2587" s="1071">
        <f t="shared" ref="Q2587:Q2592" si="514">Q2586</f>
        <v>0</v>
      </c>
    </row>
    <row r="2588" spans="9:17" ht="13.9" x14ac:dyDescent="0.4">
      <c r="I2588" s="1073">
        <f t="shared" si="513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2"/>
        <v>0</v>
      </c>
      <c r="P2588" s="160"/>
      <c r="Q2588" s="1071">
        <f t="shared" si="514"/>
        <v>0</v>
      </c>
    </row>
    <row r="2589" spans="9:17" ht="13.9" x14ac:dyDescent="0.4">
      <c r="I2589" s="1073">
        <f t="shared" si="513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2"/>
        <v>0</v>
      </c>
      <c r="P2589" s="158"/>
      <c r="Q2589" s="1071">
        <f t="shared" si="514"/>
        <v>0</v>
      </c>
    </row>
    <row r="2590" spans="9:17" ht="13.9" x14ac:dyDescent="0.4">
      <c r="I2590" s="1073">
        <f t="shared" si="513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2"/>
        <v>0</v>
      </c>
      <c r="P2590" s="158"/>
      <c r="Q2590" s="1071">
        <f t="shared" si="514"/>
        <v>0</v>
      </c>
    </row>
    <row r="2591" spans="9:17" ht="13.9" x14ac:dyDescent="0.4">
      <c r="I2591" s="1073">
        <f t="shared" si="513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2"/>
        <v>0</v>
      </c>
      <c r="P2591" s="158"/>
      <c r="Q2591" s="1071">
        <f t="shared" si="514"/>
        <v>0</v>
      </c>
    </row>
    <row r="2592" spans="9:17" ht="13.9" x14ac:dyDescent="0.4">
      <c r="I2592" s="1073">
        <f t="shared" si="513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2"/>
        <v>0</v>
      </c>
      <c r="P2592" s="158"/>
      <c r="Q2592" s="1071">
        <f t="shared" si="514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Defoliant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5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6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5"/>
        <v>0</v>
      </c>
      <c r="P2598" s="160"/>
      <c r="Q2598" s="1071">
        <f t="shared" ref="Q2598:Q2603" si="517">Q2597</f>
        <v>0</v>
      </c>
    </row>
    <row r="2599" spans="9:17" ht="13.9" x14ac:dyDescent="0.4">
      <c r="I2599" s="1073">
        <f t="shared" si="516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5"/>
        <v>0</v>
      </c>
      <c r="P2599" s="160"/>
      <c r="Q2599" s="1071">
        <f t="shared" si="517"/>
        <v>0</v>
      </c>
    </row>
    <row r="2600" spans="9:17" ht="13.9" x14ac:dyDescent="0.4">
      <c r="I2600" s="1073">
        <f t="shared" si="516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5"/>
        <v>0</v>
      </c>
      <c r="P2600" s="160"/>
      <c r="Q2600" s="1071">
        <f t="shared" si="517"/>
        <v>0</v>
      </c>
    </row>
    <row r="2601" spans="9:17" ht="13.9" x14ac:dyDescent="0.4">
      <c r="I2601" s="1073">
        <f t="shared" si="516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5"/>
        <v>0</v>
      </c>
      <c r="P2601" s="160"/>
      <c r="Q2601" s="1071">
        <f t="shared" si="517"/>
        <v>0</v>
      </c>
    </row>
    <row r="2602" spans="9:17" ht="13.9" x14ac:dyDescent="0.4">
      <c r="I2602" s="1073">
        <f t="shared" si="516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5"/>
        <v>0</v>
      </c>
      <c r="P2602" s="158"/>
      <c r="Q2602" s="1071">
        <f t="shared" si="517"/>
        <v>0</v>
      </c>
    </row>
    <row r="2603" spans="9:17" ht="13.9" x14ac:dyDescent="0.4">
      <c r="I2603" s="1073">
        <f t="shared" si="516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5"/>
        <v>0</v>
      </c>
      <c r="P2603" s="158"/>
      <c r="Q2603" s="1071">
        <f t="shared" si="517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8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9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8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9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8"/>
        <v>110.432</v>
      </c>
      <c r="P2612" s="1449">
        <f>N2612</f>
        <v>6.4</v>
      </c>
      <c r="Q2612" s="1071">
        <f t="shared" ref="Q2612:Q2623" si="520">Q2611</f>
        <v>0</v>
      </c>
    </row>
    <row r="2613" spans="9:17" ht="13.9" x14ac:dyDescent="0.4">
      <c r="I2613" s="1073">
        <f t="shared" si="519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8"/>
        <v>13.28125</v>
      </c>
      <c r="P2613" s="1449">
        <f>N2613</f>
        <v>4</v>
      </c>
      <c r="Q2613" s="1071">
        <f t="shared" si="520"/>
        <v>0</v>
      </c>
    </row>
    <row r="2614" spans="9:17" ht="13.9" x14ac:dyDescent="0.4">
      <c r="I2614" s="1073">
        <f t="shared" si="519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8"/>
        <v>27.608000000000001</v>
      </c>
      <c r="P2614" s="1449">
        <f>N2614</f>
        <v>1.6</v>
      </c>
      <c r="Q2614" s="1071">
        <f t="shared" si="520"/>
        <v>0</v>
      </c>
    </row>
    <row r="2615" spans="9:17" ht="13.9" x14ac:dyDescent="0.4">
      <c r="I2615" s="1073">
        <f t="shared" si="519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8"/>
        <v>0</v>
      </c>
      <c r="P2615" s="160"/>
      <c r="Q2615" s="1071">
        <f t="shared" si="520"/>
        <v>0</v>
      </c>
    </row>
    <row r="2616" spans="9:17" ht="13.9" x14ac:dyDescent="0.4">
      <c r="I2616" s="1073">
        <f t="shared" si="519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8"/>
        <v>0</v>
      </c>
      <c r="P2616" s="160"/>
      <c r="Q2616" s="1071">
        <f t="shared" si="520"/>
        <v>0</v>
      </c>
    </row>
    <row r="2617" spans="9:17" ht="13.9" x14ac:dyDescent="0.4">
      <c r="I2617" s="1073">
        <f t="shared" si="519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8"/>
        <v>0</v>
      </c>
      <c r="P2617" s="160"/>
      <c r="Q2617" s="1071">
        <f t="shared" si="520"/>
        <v>0</v>
      </c>
    </row>
    <row r="2618" spans="9:17" ht="13.9" x14ac:dyDescent="0.4">
      <c r="I2618" s="1073">
        <f t="shared" si="519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8"/>
        <v>0</v>
      </c>
      <c r="P2618" s="160"/>
      <c r="Q2618" s="1071">
        <f t="shared" si="520"/>
        <v>0</v>
      </c>
    </row>
    <row r="2619" spans="9:17" ht="13.9" x14ac:dyDescent="0.4">
      <c r="I2619" s="1073">
        <f t="shared" si="519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8"/>
        <v>0</v>
      </c>
      <c r="P2619" s="160"/>
      <c r="Q2619" s="1071">
        <f t="shared" si="520"/>
        <v>0</v>
      </c>
    </row>
    <row r="2620" spans="9:17" ht="13.9" x14ac:dyDescent="0.4">
      <c r="I2620" s="1073">
        <f t="shared" si="519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8"/>
        <v>0</v>
      </c>
      <c r="P2620" s="160"/>
      <c r="Q2620" s="1071">
        <f t="shared" si="520"/>
        <v>0</v>
      </c>
    </row>
    <row r="2621" spans="9:17" ht="13.9" x14ac:dyDescent="0.4">
      <c r="I2621" s="1073">
        <f t="shared" si="519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8"/>
        <v>0</v>
      </c>
      <c r="P2621" s="160"/>
      <c r="Q2621" s="1071">
        <f t="shared" si="520"/>
        <v>0</v>
      </c>
    </row>
    <row r="2622" spans="9:17" ht="13.9" x14ac:dyDescent="0.4">
      <c r="I2622" s="1073">
        <f t="shared" si="519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8"/>
        <v>0</v>
      </c>
      <c r="P2622" s="160"/>
      <c r="Q2622" s="1071">
        <f t="shared" si="520"/>
        <v>0</v>
      </c>
    </row>
    <row r="2623" spans="9:17" ht="13.9" x14ac:dyDescent="0.4">
      <c r="I2623" s="1073">
        <f t="shared" si="519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8"/>
        <v>0</v>
      </c>
      <c r="P2623" s="160"/>
      <c r="Q2623" s="1071">
        <f t="shared" si="520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1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2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1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2"/>
        <v>0</v>
      </c>
      <c r="P2630" s="160"/>
      <c r="Q2630" s="1071">
        <f t="shared" ref="Q2630:Q2637" si="523">Q2629</f>
        <v>0</v>
      </c>
    </row>
    <row r="2631" spans="9:17" ht="13.9" x14ac:dyDescent="0.4">
      <c r="I2631" s="1073">
        <f t="shared" si="521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2"/>
        <v>0</v>
      </c>
      <c r="P2631" s="160"/>
      <c r="Q2631" s="1071">
        <f t="shared" si="523"/>
        <v>0</v>
      </c>
    </row>
    <row r="2632" spans="9:17" ht="13.9" x14ac:dyDescent="0.4">
      <c r="I2632" s="1073">
        <f t="shared" si="521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2"/>
        <v>0</v>
      </c>
      <c r="P2632" s="158"/>
      <c r="Q2632" s="1071">
        <f t="shared" si="523"/>
        <v>0</v>
      </c>
    </row>
    <row r="2633" spans="9:17" ht="13.9" x14ac:dyDescent="0.4">
      <c r="I2633" s="1073">
        <f t="shared" si="521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2"/>
        <v>0</v>
      </c>
      <c r="P2633" s="158"/>
      <c r="Q2633" s="1071">
        <f t="shared" si="523"/>
        <v>0</v>
      </c>
    </row>
    <row r="2634" spans="9:17" ht="13.9" x14ac:dyDescent="0.4">
      <c r="I2634" s="1073">
        <f t="shared" si="521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2"/>
        <v>0</v>
      </c>
      <c r="P2634" s="158"/>
      <c r="Q2634" s="1071">
        <f t="shared" si="523"/>
        <v>0</v>
      </c>
    </row>
    <row r="2635" spans="9:17" ht="13.9" x14ac:dyDescent="0.4">
      <c r="I2635" s="1073">
        <f t="shared" si="521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2"/>
        <v>0</v>
      </c>
      <c r="P2635" s="158"/>
      <c r="Q2635" s="1071">
        <f t="shared" si="523"/>
        <v>0</v>
      </c>
    </row>
    <row r="2636" spans="9:17" ht="13.9" x14ac:dyDescent="0.4">
      <c r="I2636" s="1073">
        <f t="shared" si="521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2"/>
        <v>0</v>
      </c>
      <c r="P2636" s="158"/>
      <c r="Q2636" s="1071">
        <f t="shared" si="523"/>
        <v>0</v>
      </c>
    </row>
    <row r="2637" spans="9:17" ht="13.9" x14ac:dyDescent="0.4">
      <c r="I2637" s="1073">
        <f t="shared" si="521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2"/>
        <v>0</v>
      </c>
      <c r="P2637" s="158"/>
      <c r="Q2637" s="1071">
        <f t="shared" si="523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Nematicide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Growth Regulator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4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5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4"/>
        <v>0</v>
      </c>
      <c r="P2649" s="160"/>
      <c r="Q2649" s="1071">
        <f t="shared" ref="Q2649:Q2654" si="526">Q2648</f>
        <v>0</v>
      </c>
    </row>
    <row r="2650" spans="9:17" ht="13.9" x14ac:dyDescent="0.4">
      <c r="I2650" s="1073">
        <f t="shared" si="525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4"/>
        <v>0</v>
      </c>
      <c r="P2650" s="160"/>
      <c r="Q2650" s="1071">
        <f t="shared" si="526"/>
        <v>0</v>
      </c>
    </row>
    <row r="2651" spans="9:17" ht="13.9" x14ac:dyDescent="0.4">
      <c r="I2651" s="1073">
        <f t="shared" si="525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4"/>
        <v>0</v>
      </c>
      <c r="P2651" s="158"/>
      <c r="Q2651" s="1071">
        <f t="shared" si="526"/>
        <v>0</v>
      </c>
    </row>
    <row r="2652" spans="9:17" ht="13.9" x14ac:dyDescent="0.4">
      <c r="I2652" s="1073">
        <f t="shared" si="525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4"/>
        <v>0</v>
      </c>
      <c r="P2652" s="158"/>
      <c r="Q2652" s="1071">
        <f t="shared" si="526"/>
        <v>0</v>
      </c>
    </row>
    <row r="2653" spans="9:17" ht="13.9" x14ac:dyDescent="0.4">
      <c r="I2653" s="1073">
        <f t="shared" si="525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4"/>
        <v>0</v>
      </c>
      <c r="P2653" s="158"/>
      <c r="Q2653" s="1071">
        <f t="shared" si="526"/>
        <v>0</v>
      </c>
    </row>
    <row r="2654" spans="9:17" ht="13.9" x14ac:dyDescent="0.4">
      <c r="I2654" s="1073">
        <f t="shared" si="525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4"/>
        <v>0</v>
      </c>
      <c r="P2654" s="158"/>
      <c r="Q2654" s="1071">
        <f t="shared" si="526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Defoliant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7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8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7"/>
        <v>0</v>
      </c>
      <c r="P2660" s="160"/>
      <c r="Q2660" s="1071">
        <f t="shared" ref="Q2660:Q2665" si="529">Q2659</f>
        <v>0</v>
      </c>
    </row>
    <row r="2661" spans="9:17" ht="13.9" x14ac:dyDescent="0.4">
      <c r="I2661" s="1073">
        <f t="shared" si="528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7"/>
        <v>0</v>
      </c>
      <c r="P2661" s="160"/>
      <c r="Q2661" s="1071">
        <f t="shared" si="529"/>
        <v>0</v>
      </c>
    </row>
    <row r="2662" spans="9:17" ht="13.9" x14ac:dyDescent="0.4">
      <c r="I2662" s="1073">
        <f t="shared" si="528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7"/>
        <v>0</v>
      </c>
      <c r="P2662" s="160"/>
      <c r="Q2662" s="1071">
        <f t="shared" si="529"/>
        <v>0</v>
      </c>
    </row>
    <row r="2663" spans="9:17" ht="13.9" x14ac:dyDescent="0.4">
      <c r="I2663" s="1073">
        <f t="shared" si="528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7"/>
        <v>0</v>
      </c>
      <c r="P2663" s="160"/>
      <c r="Q2663" s="1071">
        <f t="shared" si="529"/>
        <v>0</v>
      </c>
    </row>
    <row r="2664" spans="9:17" ht="13.9" x14ac:dyDescent="0.4">
      <c r="I2664" s="1073">
        <f t="shared" si="528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7"/>
        <v>0</v>
      </c>
      <c r="P2664" s="158"/>
      <c r="Q2664" s="1071">
        <f t="shared" si="529"/>
        <v>0</v>
      </c>
    </row>
    <row r="2665" spans="9:17" ht="13.9" x14ac:dyDescent="0.4">
      <c r="I2665" s="1073">
        <f t="shared" si="528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7"/>
        <v>0</v>
      </c>
      <c r="P2665" s="158"/>
      <c r="Q2665" s="1071">
        <f t="shared" si="529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30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1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30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1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30"/>
        <v>4.5</v>
      </c>
      <c r="P2674" s="160">
        <f>M2674/16</f>
        <v>8.7890625E-3</v>
      </c>
      <c r="Q2674" s="1071">
        <f t="shared" ref="Q2674:Q2685" si="532">Q2673</f>
        <v>0</v>
      </c>
    </row>
    <row r="2675" spans="9:17" ht="13.9" x14ac:dyDescent="0.4">
      <c r="I2675" s="1073">
        <f t="shared" si="531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30"/>
        <v>20.100000000000001</v>
      </c>
      <c r="P2675" s="160">
        <f>M2675</f>
        <v>6.7</v>
      </c>
      <c r="Q2675" s="1071">
        <f t="shared" si="532"/>
        <v>0</v>
      </c>
    </row>
    <row r="2676" spans="9:17" ht="13.9" x14ac:dyDescent="0.4">
      <c r="I2676" s="1073">
        <f t="shared" si="531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30"/>
        <v>5.0859375</v>
      </c>
      <c r="P2676" s="160">
        <f>M2676</f>
        <v>0.328125</v>
      </c>
      <c r="Q2676" s="1071">
        <f t="shared" si="532"/>
        <v>0</v>
      </c>
    </row>
    <row r="2677" spans="9:17" ht="13.9" x14ac:dyDescent="0.4">
      <c r="I2677" s="1073">
        <f t="shared" si="531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30"/>
        <v>31.950000000000003</v>
      </c>
      <c r="P2677" s="160">
        <f>M2677/32</f>
        <v>1.0400390625E-2</v>
      </c>
      <c r="Q2677" s="1071">
        <f t="shared" si="532"/>
        <v>0</v>
      </c>
    </row>
    <row r="2678" spans="9:17" ht="13.9" x14ac:dyDescent="0.4">
      <c r="I2678" s="1073">
        <f t="shared" si="531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30"/>
        <v>5.0859375</v>
      </c>
      <c r="P2678" s="160">
        <f>M2678</f>
        <v>0.328125</v>
      </c>
      <c r="Q2678" s="1071">
        <f t="shared" si="532"/>
        <v>0</v>
      </c>
    </row>
    <row r="2679" spans="9:17" ht="13.9" x14ac:dyDescent="0.4">
      <c r="I2679" s="1073">
        <f t="shared" si="531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30"/>
        <v>25.350937500000001</v>
      </c>
      <c r="P2679" s="160">
        <f>M2679</f>
        <v>2.1125781250000002</v>
      </c>
      <c r="Q2679" s="1071">
        <f t="shared" si="532"/>
        <v>0</v>
      </c>
    </row>
    <row r="2680" spans="9:17" ht="13.9" x14ac:dyDescent="0.4">
      <c r="I2680" s="1073">
        <f t="shared" si="531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30"/>
        <v>0</v>
      </c>
      <c r="P2680" s="160"/>
      <c r="Q2680" s="1071">
        <f t="shared" si="532"/>
        <v>0</v>
      </c>
    </row>
    <row r="2681" spans="9:17" ht="13.9" x14ac:dyDescent="0.4">
      <c r="I2681" s="1073">
        <f t="shared" si="531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30"/>
        <v>0</v>
      </c>
      <c r="P2681" s="160"/>
      <c r="Q2681" s="1071">
        <f t="shared" si="532"/>
        <v>0</v>
      </c>
    </row>
    <row r="2682" spans="9:17" ht="13.9" x14ac:dyDescent="0.4">
      <c r="I2682" s="1073">
        <f t="shared" si="531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30"/>
        <v>0</v>
      </c>
      <c r="P2682" s="160"/>
      <c r="Q2682" s="1071">
        <f t="shared" si="532"/>
        <v>0</v>
      </c>
    </row>
    <row r="2683" spans="9:17" ht="13.9" x14ac:dyDescent="0.4">
      <c r="I2683" s="1073">
        <f t="shared" si="531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30"/>
        <v>0</v>
      </c>
      <c r="P2683" s="160"/>
      <c r="Q2683" s="1071">
        <f t="shared" si="532"/>
        <v>0</v>
      </c>
    </row>
    <row r="2684" spans="9:17" ht="13.9" x14ac:dyDescent="0.4">
      <c r="I2684" s="1073">
        <f t="shared" si="531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30"/>
        <v>0</v>
      </c>
      <c r="P2684" s="160"/>
      <c r="Q2684" s="1071">
        <f t="shared" si="532"/>
        <v>0</v>
      </c>
    </row>
    <row r="2685" spans="9:17" ht="13.9" x14ac:dyDescent="0.4">
      <c r="I2685" s="1073">
        <f t="shared" si="531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30"/>
        <v>0</v>
      </c>
      <c r="P2685" s="160"/>
      <c r="Q2685" s="1071">
        <f t="shared" si="532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3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4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3"/>
        <v>0</v>
      </c>
      <c r="P2691" s="160"/>
      <c r="Q2691" s="1071">
        <f>Q2690</f>
        <v>0</v>
      </c>
    </row>
    <row r="2692" spans="9:17" ht="13.9" x14ac:dyDescent="0.4">
      <c r="I2692" s="1073">
        <f t="shared" si="534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3"/>
        <v>0</v>
      </c>
      <c r="P2692" s="160"/>
      <c r="Q2692" s="1071">
        <f t="shared" ref="Q2692:Q2699" si="535">Q2691</f>
        <v>0</v>
      </c>
    </row>
    <row r="2693" spans="9:17" ht="13.9" x14ac:dyDescent="0.4">
      <c r="I2693" s="1073">
        <f t="shared" si="534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3"/>
        <v>0</v>
      </c>
      <c r="P2693" s="160"/>
      <c r="Q2693" s="1071">
        <f t="shared" si="535"/>
        <v>0</v>
      </c>
    </row>
    <row r="2694" spans="9:17" ht="13.9" x14ac:dyDescent="0.4">
      <c r="I2694" s="1073">
        <f t="shared" si="534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3"/>
        <v>0</v>
      </c>
      <c r="P2694" s="158"/>
      <c r="Q2694" s="1071">
        <f t="shared" si="535"/>
        <v>0</v>
      </c>
    </row>
    <row r="2695" spans="9:17" ht="13.9" x14ac:dyDescent="0.4">
      <c r="I2695" s="1073">
        <f t="shared" si="534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3"/>
        <v>0</v>
      </c>
      <c r="P2695" s="158"/>
      <c r="Q2695" s="1071">
        <f t="shared" si="535"/>
        <v>0</v>
      </c>
    </row>
    <row r="2696" spans="9:17" ht="13.9" x14ac:dyDescent="0.4">
      <c r="I2696" s="1073">
        <f t="shared" si="534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3"/>
        <v>0</v>
      </c>
      <c r="P2696" s="158"/>
      <c r="Q2696" s="1071">
        <f t="shared" si="535"/>
        <v>0</v>
      </c>
    </row>
    <row r="2697" spans="9:17" ht="13.9" x14ac:dyDescent="0.4">
      <c r="I2697" s="1073">
        <f t="shared" si="534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3"/>
        <v>0</v>
      </c>
      <c r="P2697" s="158"/>
      <c r="Q2697" s="1071">
        <f t="shared" si="535"/>
        <v>0</v>
      </c>
    </row>
    <row r="2698" spans="9:17" ht="13.9" x14ac:dyDescent="0.4">
      <c r="I2698" s="1073">
        <f t="shared" si="534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3"/>
        <v>0</v>
      </c>
      <c r="P2698" s="158"/>
      <c r="Q2698" s="1071">
        <f t="shared" si="535"/>
        <v>0</v>
      </c>
    </row>
    <row r="2699" spans="9:17" ht="13.9" x14ac:dyDescent="0.4">
      <c r="I2699" s="1073">
        <f t="shared" si="534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3"/>
        <v>0</v>
      </c>
      <c r="P2699" s="158"/>
      <c r="Q2699" s="1071">
        <f t="shared" si="535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Nematicide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Growth Regulator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6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7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6"/>
        <v>0</v>
      </c>
      <c r="P2711" s="160"/>
      <c r="Q2711" s="1071">
        <f t="shared" ref="Q2711:Q2716" si="538">Q2710</f>
        <v>0</v>
      </c>
    </row>
    <row r="2712" spans="9:17" ht="13.9" x14ac:dyDescent="0.4">
      <c r="I2712" s="1073">
        <f t="shared" si="537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6"/>
        <v>0</v>
      </c>
      <c r="P2712" s="160"/>
      <c r="Q2712" s="1071">
        <f t="shared" si="538"/>
        <v>0</v>
      </c>
    </row>
    <row r="2713" spans="9:17" ht="13.9" x14ac:dyDescent="0.4">
      <c r="I2713" s="1073">
        <f t="shared" si="537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6"/>
        <v>0</v>
      </c>
      <c r="P2713" s="158"/>
      <c r="Q2713" s="1071">
        <f t="shared" si="538"/>
        <v>0</v>
      </c>
    </row>
    <row r="2714" spans="9:17" ht="13.9" x14ac:dyDescent="0.4">
      <c r="I2714" s="1073">
        <f t="shared" si="537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6"/>
        <v>0</v>
      </c>
      <c r="P2714" s="158"/>
      <c r="Q2714" s="1071">
        <f t="shared" si="538"/>
        <v>0</v>
      </c>
    </row>
    <row r="2715" spans="9:17" ht="13.9" x14ac:dyDescent="0.4">
      <c r="I2715" s="1073">
        <f t="shared" si="537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6"/>
        <v>0</v>
      </c>
      <c r="P2715" s="158"/>
      <c r="Q2715" s="1071">
        <f t="shared" si="538"/>
        <v>0</v>
      </c>
    </row>
    <row r="2716" spans="9:17" ht="13.9" x14ac:dyDescent="0.4">
      <c r="I2716" s="1073">
        <f t="shared" si="537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6"/>
        <v>0</v>
      </c>
      <c r="P2716" s="158"/>
      <c r="Q2716" s="1071">
        <f t="shared" si="538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Defoliant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9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40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9"/>
        <v>0</v>
      </c>
      <c r="P2722" s="160"/>
      <c r="Q2722" s="1071">
        <f t="shared" ref="Q2722:Q2727" si="541">Q2721</f>
        <v>0</v>
      </c>
    </row>
    <row r="2723" spans="9:17" ht="13.9" x14ac:dyDescent="0.4">
      <c r="I2723" s="1073">
        <f t="shared" si="540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9"/>
        <v>0</v>
      </c>
      <c r="P2723" s="160"/>
      <c r="Q2723" s="1071">
        <f t="shared" si="541"/>
        <v>0</v>
      </c>
    </row>
    <row r="2724" spans="9:17" ht="13.9" x14ac:dyDescent="0.4">
      <c r="I2724" s="1073">
        <f t="shared" si="540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9"/>
        <v>0</v>
      </c>
      <c r="P2724" s="160"/>
      <c r="Q2724" s="1071">
        <f t="shared" si="541"/>
        <v>0</v>
      </c>
    </row>
    <row r="2725" spans="9:17" ht="13.9" x14ac:dyDescent="0.4">
      <c r="I2725" s="1073">
        <f t="shared" si="540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9"/>
        <v>0</v>
      </c>
      <c r="P2725" s="160"/>
      <c r="Q2725" s="1071">
        <f t="shared" si="541"/>
        <v>0</v>
      </c>
    </row>
    <row r="2726" spans="9:17" ht="13.9" x14ac:dyDescent="0.4">
      <c r="I2726" s="1073">
        <f t="shared" si="540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9"/>
        <v>0</v>
      </c>
      <c r="P2726" s="158"/>
      <c r="Q2726" s="1071">
        <f t="shared" si="541"/>
        <v>0</v>
      </c>
    </row>
    <row r="2727" spans="9:17" ht="13.9" x14ac:dyDescent="0.4">
      <c r="I2727" s="1073">
        <f t="shared" si="540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9"/>
        <v>0</v>
      </c>
      <c r="P2727" s="158"/>
      <c r="Q2727" s="1071">
        <f t="shared" si="541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2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3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2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3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2"/>
        <v>4.5</v>
      </c>
      <c r="P2736" s="160"/>
      <c r="Q2736" s="1071">
        <f t="shared" ref="Q2736:Q2747" si="544">Q2735</f>
        <v>0</v>
      </c>
    </row>
    <row r="2737" spans="9:17" ht="13.9" x14ac:dyDescent="0.4">
      <c r="I2737" s="1073">
        <f t="shared" si="543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2"/>
        <v>20.100000000000001</v>
      </c>
      <c r="P2737" s="160"/>
      <c r="Q2737" s="1071">
        <f t="shared" si="544"/>
        <v>0</v>
      </c>
    </row>
    <row r="2738" spans="9:17" ht="13.9" x14ac:dyDescent="0.4">
      <c r="I2738" s="1073">
        <f t="shared" si="543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2"/>
        <v>5.5703125</v>
      </c>
      <c r="P2738" s="160"/>
      <c r="Q2738" s="1071">
        <f t="shared" si="544"/>
        <v>0</v>
      </c>
    </row>
    <row r="2739" spans="9:17" ht="13.9" x14ac:dyDescent="0.4">
      <c r="I2739" s="1073">
        <f t="shared" si="543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2"/>
        <v>21.454999999999998</v>
      </c>
      <c r="P2739" s="160"/>
      <c r="Q2739" s="1071">
        <f t="shared" si="544"/>
        <v>0</v>
      </c>
    </row>
    <row r="2740" spans="9:17" ht="13.9" x14ac:dyDescent="0.4">
      <c r="I2740" s="1073">
        <f t="shared" si="543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2"/>
        <v>10.625</v>
      </c>
      <c r="P2740" s="160"/>
      <c r="Q2740" s="1071">
        <f t="shared" si="544"/>
        <v>0</v>
      </c>
    </row>
    <row r="2741" spans="9:17" ht="13.9" x14ac:dyDescent="0.4">
      <c r="I2741" s="1073">
        <f t="shared" si="543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2"/>
        <v>5.5703125</v>
      </c>
      <c r="P2741" s="160"/>
      <c r="Q2741" s="1071">
        <f t="shared" si="544"/>
        <v>0</v>
      </c>
    </row>
    <row r="2742" spans="9:17" ht="13.9" x14ac:dyDescent="0.4">
      <c r="I2742" s="1073">
        <f t="shared" si="543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2"/>
        <v>25.350937500000001</v>
      </c>
      <c r="P2742" s="160"/>
      <c r="Q2742" s="1071">
        <f t="shared" si="544"/>
        <v>0</v>
      </c>
    </row>
    <row r="2743" spans="9:17" ht="13.9" x14ac:dyDescent="0.4">
      <c r="I2743" s="1073">
        <f t="shared" si="543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2"/>
        <v>0</v>
      </c>
      <c r="P2743" s="160"/>
      <c r="Q2743" s="1071">
        <f t="shared" si="544"/>
        <v>0</v>
      </c>
    </row>
    <row r="2744" spans="9:17" ht="13.9" x14ac:dyDescent="0.4">
      <c r="I2744" s="1073">
        <f t="shared" si="543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2"/>
        <v>0</v>
      </c>
      <c r="P2744" s="160"/>
      <c r="Q2744" s="1071">
        <f t="shared" si="544"/>
        <v>0</v>
      </c>
    </row>
    <row r="2745" spans="9:17" ht="13.9" x14ac:dyDescent="0.4">
      <c r="I2745" s="1073">
        <f t="shared" si="543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2"/>
        <v>0</v>
      </c>
      <c r="P2745" s="160"/>
      <c r="Q2745" s="1071">
        <f t="shared" si="544"/>
        <v>0</v>
      </c>
    </row>
    <row r="2746" spans="9:17" ht="13.9" x14ac:dyDescent="0.4">
      <c r="I2746" s="1073">
        <f t="shared" si="543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2"/>
        <v>0</v>
      </c>
      <c r="P2746" s="160"/>
      <c r="Q2746" s="1071">
        <f t="shared" si="544"/>
        <v>0</v>
      </c>
    </row>
    <row r="2747" spans="9:17" ht="13.9" x14ac:dyDescent="0.4">
      <c r="I2747" s="1073">
        <f t="shared" si="543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2"/>
        <v>0</v>
      </c>
      <c r="P2747" s="160"/>
      <c r="Q2747" s="1071">
        <f t="shared" si="544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5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6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5"/>
        <v>0</v>
      </c>
      <c r="P2753" s="160"/>
      <c r="Q2753" s="1071">
        <f>Q2752</f>
        <v>0</v>
      </c>
    </row>
    <row r="2754" spans="9:17" ht="13.9" x14ac:dyDescent="0.4">
      <c r="I2754" s="1073">
        <f t="shared" si="546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5"/>
        <v>0</v>
      </c>
      <c r="P2754" s="160"/>
      <c r="Q2754" s="1071">
        <f t="shared" ref="Q2754:Q2761" si="547">Q2753</f>
        <v>0</v>
      </c>
    </row>
    <row r="2755" spans="9:17" ht="13.9" x14ac:dyDescent="0.4">
      <c r="I2755" s="1073">
        <f t="shared" si="546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5"/>
        <v>0</v>
      </c>
      <c r="P2755" s="160"/>
      <c r="Q2755" s="1071">
        <f t="shared" si="547"/>
        <v>0</v>
      </c>
    </row>
    <row r="2756" spans="9:17" ht="13.9" x14ac:dyDescent="0.4">
      <c r="I2756" s="1073">
        <f t="shared" si="546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5"/>
        <v>0</v>
      </c>
      <c r="P2756" s="158"/>
      <c r="Q2756" s="1071">
        <f t="shared" si="547"/>
        <v>0</v>
      </c>
    </row>
    <row r="2757" spans="9:17" ht="13.9" x14ac:dyDescent="0.4">
      <c r="I2757" s="1073">
        <f t="shared" si="546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5"/>
        <v>0</v>
      </c>
      <c r="P2757" s="158"/>
      <c r="Q2757" s="1071">
        <f t="shared" si="547"/>
        <v>0</v>
      </c>
    </row>
    <row r="2758" spans="9:17" ht="13.9" x14ac:dyDescent="0.4">
      <c r="I2758" s="1073">
        <f t="shared" si="546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5"/>
        <v>0</v>
      </c>
      <c r="P2758" s="158"/>
      <c r="Q2758" s="1071">
        <f t="shared" si="547"/>
        <v>0</v>
      </c>
    </row>
    <row r="2759" spans="9:17" ht="13.9" x14ac:dyDescent="0.4">
      <c r="I2759" s="1073">
        <f t="shared" si="546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5"/>
        <v>0</v>
      </c>
      <c r="P2759" s="158"/>
      <c r="Q2759" s="1071">
        <f t="shared" si="547"/>
        <v>0</v>
      </c>
    </row>
    <row r="2760" spans="9:17" ht="13.9" x14ac:dyDescent="0.4">
      <c r="I2760" s="1073">
        <f t="shared" si="546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5"/>
        <v>0</v>
      </c>
      <c r="P2760" s="158"/>
      <c r="Q2760" s="1071">
        <f t="shared" si="547"/>
        <v>0</v>
      </c>
    </row>
    <row r="2761" spans="9:17" ht="13.9" x14ac:dyDescent="0.4">
      <c r="I2761" s="1073">
        <f t="shared" si="546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5"/>
        <v>0</v>
      </c>
      <c r="P2761" s="158"/>
      <c r="Q2761" s="1071">
        <f t="shared" si="547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Nematicide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Growth Regulator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8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9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8"/>
        <v>0</v>
      </c>
      <c r="P2773" s="160"/>
      <c r="Q2773" s="1071">
        <f t="shared" ref="Q2773:Q2778" si="550">Q2772</f>
        <v>0</v>
      </c>
    </row>
    <row r="2774" spans="9:17" ht="13.9" x14ac:dyDescent="0.4">
      <c r="I2774" s="1073">
        <f t="shared" si="549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8"/>
        <v>0</v>
      </c>
      <c r="P2774" s="160"/>
      <c r="Q2774" s="1071">
        <f t="shared" si="550"/>
        <v>0</v>
      </c>
    </row>
    <row r="2775" spans="9:17" ht="13.9" x14ac:dyDescent="0.4">
      <c r="I2775" s="1073">
        <f t="shared" si="549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8"/>
        <v>0</v>
      </c>
      <c r="P2775" s="158"/>
      <c r="Q2775" s="1071">
        <f t="shared" si="550"/>
        <v>0</v>
      </c>
    </row>
    <row r="2776" spans="9:17" ht="13.9" x14ac:dyDescent="0.4">
      <c r="I2776" s="1073">
        <f t="shared" si="549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8"/>
        <v>0</v>
      </c>
      <c r="P2776" s="158"/>
      <c r="Q2776" s="1071">
        <f t="shared" si="550"/>
        <v>0</v>
      </c>
    </row>
    <row r="2777" spans="9:17" ht="13.9" x14ac:dyDescent="0.4">
      <c r="I2777" s="1073">
        <f t="shared" si="549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8"/>
        <v>0</v>
      </c>
      <c r="P2777" s="158"/>
      <c r="Q2777" s="1071">
        <f t="shared" si="550"/>
        <v>0</v>
      </c>
    </row>
    <row r="2778" spans="9:17" ht="13.9" x14ac:dyDescent="0.4">
      <c r="I2778" s="1073">
        <f t="shared" si="549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8"/>
        <v>0</v>
      </c>
      <c r="P2778" s="158"/>
      <c r="Q2778" s="1071">
        <f t="shared" si="550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Defoliant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1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2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1"/>
        <v>0</v>
      </c>
      <c r="P2784" s="160"/>
      <c r="Q2784" s="1071">
        <f t="shared" ref="Q2784:Q2789" si="553">Q2783</f>
        <v>0</v>
      </c>
    </row>
    <row r="2785" spans="9:17" ht="13.9" x14ac:dyDescent="0.4">
      <c r="I2785" s="1073">
        <f t="shared" si="552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1"/>
        <v>0</v>
      </c>
      <c r="P2785" s="160"/>
      <c r="Q2785" s="1071">
        <f t="shared" si="553"/>
        <v>0</v>
      </c>
    </row>
    <row r="2786" spans="9:17" ht="13.9" x14ac:dyDescent="0.4">
      <c r="I2786" s="1073">
        <f t="shared" si="552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1"/>
        <v>0</v>
      </c>
      <c r="P2786" s="160"/>
      <c r="Q2786" s="1071">
        <f t="shared" si="553"/>
        <v>0</v>
      </c>
    </row>
    <row r="2787" spans="9:17" ht="13.9" x14ac:dyDescent="0.4">
      <c r="I2787" s="1073">
        <f t="shared" si="552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1"/>
        <v>0</v>
      </c>
      <c r="P2787" s="160"/>
      <c r="Q2787" s="1071">
        <f t="shared" si="553"/>
        <v>0</v>
      </c>
    </row>
    <row r="2788" spans="9:17" ht="13.9" x14ac:dyDescent="0.4">
      <c r="I2788" s="1073">
        <f t="shared" si="552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1"/>
        <v>0</v>
      </c>
      <c r="P2788" s="158"/>
      <c r="Q2788" s="1071">
        <f t="shared" si="553"/>
        <v>0</v>
      </c>
    </row>
    <row r="2789" spans="9:17" ht="13.9" x14ac:dyDescent="0.4">
      <c r="I2789" s="1073">
        <f t="shared" si="552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1"/>
        <v>0</v>
      </c>
      <c r="P2789" s="158"/>
      <c r="Q2789" s="1071">
        <f t="shared" si="553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4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5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4"/>
        <v>0</v>
      </c>
      <c r="P2797" s="160"/>
      <c r="Q2797" s="1071">
        <f>Q2796</f>
        <v>0</v>
      </c>
    </row>
    <row r="2798" spans="9:17" ht="13.9" x14ac:dyDescent="0.4">
      <c r="I2798" s="1073">
        <f t="shared" si="555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4"/>
        <v>0</v>
      </c>
      <c r="P2798" s="160"/>
      <c r="Q2798" s="1071">
        <f t="shared" ref="Q2798:Q2809" si="556">Q2797</f>
        <v>0</v>
      </c>
    </row>
    <row r="2799" spans="9:17" ht="13.9" x14ac:dyDescent="0.4">
      <c r="I2799" s="1073">
        <f t="shared" si="555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4"/>
        <v>0</v>
      </c>
      <c r="P2799" s="160"/>
      <c r="Q2799" s="1071">
        <f t="shared" si="556"/>
        <v>0</v>
      </c>
    </row>
    <row r="2800" spans="9:17" ht="13.9" x14ac:dyDescent="0.4">
      <c r="I2800" s="1073">
        <f t="shared" si="555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4"/>
        <v>0</v>
      </c>
      <c r="P2800" s="160"/>
      <c r="Q2800" s="1071">
        <f t="shared" si="556"/>
        <v>0</v>
      </c>
    </row>
    <row r="2801" spans="9:17" ht="13.9" x14ac:dyDescent="0.4">
      <c r="I2801" s="1073">
        <f t="shared" si="555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4"/>
        <v>0</v>
      </c>
      <c r="P2801" s="160"/>
      <c r="Q2801" s="1071">
        <f t="shared" si="556"/>
        <v>0</v>
      </c>
    </row>
    <row r="2802" spans="9:17" ht="13.9" x14ac:dyDescent="0.4">
      <c r="I2802" s="1073">
        <f t="shared" si="555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4"/>
        <v>0</v>
      </c>
      <c r="P2802" s="160"/>
      <c r="Q2802" s="1071">
        <f t="shared" si="556"/>
        <v>0</v>
      </c>
    </row>
    <row r="2803" spans="9:17" ht="13.9" x14ac:dyDescent="0.4">
      <c r="I2803" s="1073">
        <f t="shared" si="555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4"/>
        <v>0</v>
      </c>
      <c r="P2803" s="160"/>
      <c r="Q2803" s="1071">
        <f t="shared" si="556"/>
        <v>0</v>
      </c>
    </row>
    <row r="2804" spans="9:17" ht="13.9" x14ac:dyDescent="0.4">
      <c r="I2804" s="1073">
        <f t="shared" si="555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4"/>
        <v>0</v>
      </c>
      <c r="P2804" s="160"/>
      <c r="Q2804" s="1071">
        <f t="shared" si="556"/>
        <v>0</v>
      </c>
    </row>
    <row r="2805" spans="9:17" ht="13.9" x14ac:dyDescent="0.4">
      <c r="I2805" s="1073">
        <f t="shared" si="555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4"/>
        <v>0</v>
      </c>
      <c r="P2805" s="160"/>
      <c r="Q2805" s="1071">
        <f t="shared" si="556"/>
        <v>0</v>
      </c>
    </row>
    <row r="2806" spans="9:17" ht="13.9" x14ac:dyDescent="0.4">
      <c r="I2806" s="1073">
        <f t="shared" si="555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4"/>
        <v>0</v>
      </c>
      <c r="P2806" s="160"/>
      <c r="Q2806" s="1071">
        <f t="shared" si="556"/>
        <v>0</v>
      </c>
    </row>
    <row r="2807" spans="9:17" ht="13.9" x14ac:dyDescent="0.4">
      <c r="I2807" s="1073">
        <f t="shared" si="555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4"/>
        <v>0</v>
      </c>
      <c r="P2807" s="160"/>
      <c r="Q2807" s="1071">
        <f t="shared" si="556"/>
        <v>0</v>
      </c>
    </row>
    <row r="2808" spans="9:17" ht="13.9" x14ac:dyDescent="0.4">
      <c r="I2808" s="1073">
        <f t="shared" si="555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4"/>
        <v>0</v>
      </c>
      <c r="P2808" s="160"/>
      <c r="Q2808" s="1071">
        <f t="shared" si="556"/>
        <v>0</v>
      </c>
    </row>
    <row r="2809" spans="9:17" ht="13.9" x14ac:dyDescent="0.4">
      <c r="I2809" s="1073">
        <f t="shared" si="555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4"/>
        <v>0</v>
      </c>
      <c r="P2809" s="160"/>
      <c r="Q2809" s="1071">
        <f t="shared" si="556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7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8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7"/>
        <v>0</v>
      </c>
      <c r="P2815" s="160"/>
      <c r="Q2815" s="1071">
        <f>Q2814</f>
        <v>0</v>
      </c>
    </row>
    <row r="2816" spans="9:17" ht="13.9" x14ac:dyDescent="0.4">
      <c r="I2816" s="1073">
        <f t="shared" si="558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7"/>
        <v>0</v>
      </c>
      <c r="P2816" s="160"/>
      <c r="Q2816" s="1071">
        <f t="shared" ref="Q2816:Q2823" si="559">Q2815</f>
        <v>0</v>
      </c>
    </row>
    <row r="2817" spans="9:17" ht="13.9" x14ac:dyDescent="0.4">
      <c r="I2817" s="1073">
        <f t="shared" si="558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7"/>
        <v>0</v>
      </c>
      <c r="P2817" s="160"/>
      <c r="Q2817" s="1071">
        <f t="shared" si="559"/>
        <v>0</v>
      </c>
    </row>
    <row r="2818" spans="9:17" ht="13.9" x14ac:dyDescent="0.4">
      <c r="I2818" s="1073">
        <f t="shared" si="558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7"/>
        <v>0</v>
      </c>
      <c r="P2818" s="158"/>
      <c r="Q2818" s="1071">
        <f t="shared" si="559"/>
        <v>0</v>
      </c>
    </row>
    <row r="2819" spans="9:17" ht="13.9" x14ac:dyDescent="0.4">
      <c r="I2819" s="1073">
        <f t="shared" si="558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7"/>
        <v>0</v>
      </c>
      <c r="P2819" s="158"/>
      <c r="Q2819" s="1071">
        <f t="shared" si="559"/>
        <v>0</v>
      </c>
    </row>
    <row r="2820" spans="9:17" ht="13.9" x14ac:dyDescent="0.4">
      <c r="I2820" s="1073">
        <f t="shared" si="558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7"/>
        <v>0</v>
      </c>
      <c r="P2820" s="158"/>
      <c r="Q2820" s="1071">
        <f t="shared" si="559"/>
        <v>0</v>
      </c>
    </row>
    <row r="2821" spans="9:17" ht="13.9" x14ac:dyDescent="0.4">
      <c r="I2821" s="1073">
        <f t="shared" si="558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7"/>
        <v>0</v>
      </c>
      <c r="P2821" s="158"/>
      <c r="Q2821" s="1071">
        <f t="shared" si="559"/>
        <v>0</v>
      </c>
    </row>
    <row r="2822" spans="9:17" ht="13.9" x14ac:dyDescent="0.4">
      <c r="I2822" s="1073">
        <f t="shared" si="558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7"/>
        <v>0</v>
      </c>
      <c r="P2822" s="158"/>
      <c r="Q2822" s="1071">
        <f t="shared" si="559"/>
        <v>0</v>
      </c>
    </row>
    <row r="2823" spans="9:17" ht="13.9" x14ac:dyDescent="0.4">
      <c r="I2823" s="1073">
        <f t="shared" si="558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7"/>
        <v>0</v>
      </c>
      <c r="P2823" s="158"/>
      <c r="Q2823" s="1071">
        <f t="shared" si="559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Nematicide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Growth Regulator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60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1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60"/>
        <v>0</v>
      </c>
      <c r="P2835" s="160"/>
      <c r="Q2835" s="1071">
        <f t="shared" ref="Q2835:Q2840" si="562">Q2834</f>
        <v>0</v>
      </c>
    </row>
    <row r="2836" spans="9:17" ht="13.9" x14ac:dyDescent="0.4">
      <c r="I2836" s="1073">
        <f t="shared" si="561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60"/>
        <v>0</v>
      </c>
      <c r="P2836" s="160"/>
      <c r="Q2836" s="1071">
        <f t="shared" si="562"/>
        <v>0</v>
      </c>
    </row>
    <row r="2837" spans="9:17" ht="13.9" x14ac:dyDescent="0.4">
      <c r="I2837" s="1073">
        <f t="shared" si="561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60"/>
        <v>0</v>
      </c>
      <c r="P2837" s="158"/>
      <c r="Q2837" s="1071">
        <f t="shared" si="562"/>
        <v>0</v>
      </c>
    </row>
    <row r="2838" spans="9:17" ht="13.9" x14ac:dyDescent="0.4">
      <c r="I2838" s="1073">
        <f t="shared" si="561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60"/>
        <v>0</v>
      </c>
      <c r="P2838" s="158"/>
      <c r="Q2838" s="1071">
        <f t="shared" si="562"/>
        <v>0</v>
      </c>
    </row>
    <row r="2839" spans="9:17" ht="13.9" x14ac:dyDescent="0.4">
      <c r="I2839" s="1073">
        <f t="shared" si="561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60"/>
        <v>0</v>
      </c>
      <c r="P2839" s="158"/>
      <c r="Q2839" s="1071">
        <f t="shared" si="562"/>
        <v>0</v>
      </c>
    </row>
    <row r="2840" spans="9:17" ht="13.9" x14ac:dyDescent="0.4">
      <c r="I2840" s="1073">
        <f t="shared" si="561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60"/>
        <v>0</v>
      </c>
      <c r="P2840" s="158"/>
      <c r="Q2840" s="1071">
        <f t="shared" si="562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Defoliant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3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4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3"/>
        <v>0</v>
      </c>
      <c r="P2846" s="160"/>
      <c r="Q2846" s="1071">
        <f t="shared" ref="Q2846:Q2851" si="565">Q2845</f>
        <v>0</v>
      </c>
    </row>
    <row r="2847" spans="9:17" ht="13.9" x14ac:dyDescent="0.4">
      <c r="I2847" s="1073">
        <f t="shared" si="564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3"/>
        <v>0</v>
      </c>
      <c r="P2847" s="160"/>
      <c r="Q2847" s="1071">
        <f t="shared" si="565"/>
        <v>0</v>
      </c>
    </row>
    <row r="2848" spans="9:17" ht="13.9" x14ac:dyDescent="0.4">
      <c r="I2848" s="1073">
        <f t="shared" si="564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3"/>
        <v>0</v>
      </c>
      <c r="P2848" s="160"/>
      <c r="Q2848" s="1071">
        <f t="shared" si="565"/>
        <v>0</v>
      </c>
    </row>
    <row r="2849" spans="9:17" ht="13.9" x14ac:dyDescent="0.4">
      <c r="I2849" s="1073">
        <f t="shared" si="564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3"/>
        <v>0</v>
      </c>
      <c r="P2849" s="160"/>
      <c r="Q2849" s="1071">
        <f t="shared" si="565"/>
        <v>0</v>
      </c>
    </row>
    <row r="2850" spans="9:17" ht="13.9" x14ac:dyDescent="0.4">
      <c r="I2850" s="1073">
        <f t="shared" si="564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3"/>
        <v>0</v>
      </c>
      <c r="P2850" s="158"/>
      <c r="Q2850" s="1071">
        <f t="shared" si="565"/>
        <v>0</v>
      </c>
    </row>
    <row r="2851" spans="9:17" ht="13.9" x14ac:dyDescent="0.4">
      <c r="I2851" s="1073">
        <f t="shared" si="564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3"/>
        <v>0</v>
      </c>
      <c r="P2851" s="158"/>
      <c r="Q2851" s="1071">
        <f t="shared" si="565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6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7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6"/>
        <v>0</v>
      </c>
      <c r="P2859" s="160"/>
      <c r="Q2859" s="1071">
        <f>Q2858</f>
        <v>0</v>
      </c>
    </row>
    <row r="2860" spans="9:17" ht="13.9" x14ac:dyDescent="0.4">
      <c r="I2860" s="1073">
        <f t="shared" si="567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6"/>
        <v>0</v>
      </c>
      <c r="P2860" s="160"/>
      <c r="Q2860" s="1071">
        <f t="shared" ref="Q2860:Q2871" si="568">Q2859</f>
        <v>0</v>
      </c>
    </row>
    <row r="2861" spans="9:17" ht="13.9" x14ac:dyDescent="0.4">
      <c r="I2861" s="1073">
        <f t="shared" si="567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6"/>
        <v>0</v>
      </c>
      <c r="P2861" s="160"/>
      <c r="Q2861" s="1071">
        <f t="shared" si="568"/>
        <v>0</v>
      </c>
    </row>
    <row r="2862" spans="9:17" ht="13.9" x14ac:dyDescent="0.4">
      <c r="I2862" s="1073">
        <f t="shared" si="567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6"/>
        <v>0</v>
      </c>
      <c r="P2862" s="160"/>
      <c r="Q2862" s="1071">
        <f t="shared" si="568"/>
        <v>0</v>
      </c>
    </row>
    <row r="2863" spans="9:17" ht="13.9" x14ac:dyDescent="0.4">
      <c r="I2863" s="1073">
        <f t="shared" si="567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6"/>
        <v>0</v>
      </c>
      <c r="P2863" s="160"/>
      <c r="Q2863" s="1071">
        <f t="shared" si="568"/>
        <v>0</v>
      </c>
    </row>
    <row r="2864" spans="9:17" ht="13.9" x14ac:dyDescent="0.4">
      <c r="I2864" s="1073">
        <f t="shared" si="567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6"/>
        <v>0</v>
      </c>
      <c r="P2864" s="160"/>
      <c r="Q2864" s="1071">
        <f t="shared" si="568"/>
        <v>0</v>
      </c>
    </row>
    <row r="2865" spans="9:17" ht="13.9" x14ac:dyDescent="0.4">
      <c r="I2865" s="1073">
        <f t="shared" si="567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6"/>
        <v>0</v>
      </c>
      <c r="P2865" s="160"/>
      <c r="Q2865" s="1071">
        <f t="shared" si="568"/>
        <v>0</v>
      </c>
    </row>
    <row r="2866" spans="9:17" ht="13.9" x14ac:dyDescent="0.4">
      <c r="I2866" s="1073">
        <f t="shared" si="567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6"/>
        <v>0</v>
      </c>
      <c r="P2866" s="160"/>
      <c r="Q2866" s="1071">
        <f t="shared" si="568"/>
        <v>0</v>
      </c>
    </row>
    <row r="2867" spans="9:17" ht="13.9" x14ac:dyDescent="0.4">
      <c r="I2867" s="1073">
        <f t="shared" si="567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6"/>
        <v>0</v>
      </c>
      <c r="P2867" s="160"/>
      <c r="Q2867" s="1071">
        <f t="shared" si="568"/>
        <v>0</v>
      </c>
    </row>
    <row r="2868" spans="9:17" ht="13.9" x14ac:dyDescent="0.4">
      <c r="I2868" s="1073">
        <f t="shared" si="567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6"/>
        <v>0</v>
      </c>
      <c r="P2868" s="160"/>
      <c r="Q2868" s="1071">
        <f t="shared" si="568"/>
        <v>0</v>
      </c>
    </row>
    <row r="2869" spans="9:17" ht="13.9" x14ac:dyDescent="0.4">
      <c r="I2869" s="1073">
        <f t="shared" si="567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6"/>
        <v>0</v>
      </c>
      <c r="P2869" s="160"/>
      <c r="Q2869" s="1071">
        <f t="shared" si="568"/>
        <v>0</v>
      </c>
    </row>
    <row r="2870" spans="9:17" ht="13.9" x14ac:dyDescent="0.4">
      <c r="I2870" s="1073">
        <f t="shared" si="567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6"/>
        <v>0</v>
      </c>
      <c r="P2870" s="160"/>
      <c r="Q2870" s="1071">
        <f t="shared" si="568"/>
        <v>0</v>
      </c>
    </row>
    <row r="2871" spans="9:17" ht="13.9" x14ac:dyDescent="0.4">
      <c r="I2871" s="1073">
        <f t="shared" si="567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6"/>
        <v>0</v>
      </c>
      <c r="P2871" s="160"/>
      <c r="Q2871" s="1071">
        <f t="shared" si="568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9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70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9"/>
        <v>0</v>
      </c>
      <c r="P2877" s="160"/>
      <c r="Q2877" s="1071">
        <f>Q2876</f>
        <v>0</v>
      </c>
    </row>
    <row r="2878" spans="9:17" ht="13.9" x14ac:dyDescent="0.4">
      <c r="I2878" s="1073">
        <f t="shared" si="570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9"/>
        <v>0</v>
      </c>
      <c r="P2878" s="160"/>
      <c r="Q2878" s="1071">
        <f t="shared" ref="Q2878:Q2885" si="571">Q2877</f>
        <v>0</v>
      </c>
    </row>
    <row r="2879" spans="9:17" ht="13.9" x14ac:dyDescent="0.4">
      <c r="I2879" s="1073">
        <f t="shared" si="570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9"/>
        <v>0</v>
      </c>
      <c r="P2879" s="160"/>
      <c r="Q2879" s="1071">
        <f t="shared" si="571"/>
        <v>0</v>
      </c>
    </row>
    <row r="2880" spans="9:17" ht="13.9" x14ac:dyDescent="0.4">
      <c r="I2880" s="1073">
        <f t="shared" si="570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9"/>
        <v>0</v>
      </c>
      <c r="P2880" s="158"/>
      <c r="Q2880" s="1071">
        <f t="shared" si="571"/>
        <v>0</v>
      </c>
    </row>
    <row r="2881" spans="9:17" ht="13.9" x14ac:dyDescent="0.4">
      <c r="I2881" s="1073">
        <f t="shared" si="570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9"/>
        <v>0</v>
      </c>
      <c r="P2881" s="158"/>
      <c r="Q2881" s="1071">
        <f t="shared" si="571"/>
        <v>0</v>
      </c>
    </row>
    <row r="2882" spans="9:17" ht="13.9" x14ac:dyDescent="0.4">
      <c r="I2882" s="1073">
        <f t="shared" si="570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9"/>
        <v>0</v>
      </c>
      <c r="P2882" s="158"/>
      <c r="Q2882" s="1071">
        <f t="shared" si="571"/>
        <v>0</v>
      </c>
    </row>
    <row r="2883" spans="9:17" ht="13.9" x14ac:dyDescent="0.4">
      <c r="I2883" s="1073">
        <f t="shared" si="570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9"/>
        <v>0</v>
      </c>
      <c r="P2883" s="158"/>
      <c r="Q2883" s="1071">
        <f t="shared" si="571"/>
        <v>0</v>
      </c>
    </row>
    <row r="2884" spans="9:17" ht="13.9" x14ac:dyDescent="0.4">
      <c r="I2884" s="1073">
        <f t="shared" si="570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9"/>
        <v>0</v>
      </c>
      <c r="P2884" s="158"/>
      <c r="Q2884" s="1071">
        <f t="shared" si="571"/>
        <v>0</v>
      </c>
    </row>
    <row r="2885" spans="9:17" ht="13.9" x14ac:dyDescent="0.4">
      <c r="I2885" s="1073">
        <f t="shared" si="570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9"/>
        <v>0</v>
      </c>
      <c r="P2885" s="158"/>
      <c r="Q2885" s="1071">
        <f t="shared" si="571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Nematicide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Growth Regulator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2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3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2"/>
        <v>0</v>
      </c>
      <c r="P2897" s="160"/>
      <c r="Q2897" s="1071">
        <f t="shared" ref="Q2897:Q2902" si="574">Q2896</f>
        <v>0</v>
      </c>
    </row>
    <row r="2898" spans="9:17" ht="13.9" x14ac:dyDescent="0.4">
      <c r="I2898" s="1073">
        <f t="shared" si="573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2"/>
        <v>0</v>
      </c>
      <c r="P2898" s="160"/>
      <c r="Q2898" s="1071">
        <f t="shared" si="574"/>
        <v>0</v>
      </c>
    </row>
    <row r="2899" spans="9:17" ht="13.9" x14ac:dyDescent="0.4">
      <c r="I2899" s="1073">
        <f t="shared" si="573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2"/>
        <v>0</v>
      </c>
      <c r="P2899" s="158"/>
      <c r="Q2899" s="1071">
        <f t="shared" si="574"/>
        <v>0</v>
      </c>
    </row>
    <row r="2900" spans="9:17" ht="13.9" x14ac:dyDescent="0.4">
      <c r="I2900" s="1073">
        <f t="shared" si="573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2"/>
        <v>0</v>
      </c>
      <c r="P2900" s="158"/>
      <c r="Q2900" s="1071">
        <f t="shared" si="574"/>
        <v>0</v>
      </c>
    </row>
    <row r="2901" spans="9:17" ht="13.9" x14ac:dyDescent="0.4">
      <c r="I2901" s="1073">
        <f t="shared" si="573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2"/>
        <v>0</v>
      </c>
      <c r="P2901" s="158"/>
      <c r="Q2901" s="1071">
        <f t="shared" si="574"/>
        <v>0</v>
      </c>
    </row>
    <row r="2902" spans="9:17" ht="13.9" x14ac:dyDescent="0.4">
      <c r="I2902" s="1073">
        <f t="shared" si="573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2"/>
        <v>0</v>
      </c>
      <c r="P2902" s="158"/>
      <c r="Q2902" s="1071">
        <f t="shared" si="574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Defoliant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5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6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5"/>
        <v>0</v>
      </c>
      <c r="P2908" s="160"/>
      <c r="Q2908" s="1071">
        <f t="shared" ref="Q2908:Q2913" si="577">Q2907</f>
        <v>0</v>
      </c>
    </row>
    <row r="2909" spans="9:17" ht="13.9" x14ac:dyDescent="0.4">
      <c r="I2909" s="1073">
        <f t="shared" si="576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5"/>
        <v>0</v>
      </c>
      <c r="P2909" s="160"/>
      <c r="Q2909" s="1071">
        <f t="shared" si="577"/>
        <v>0</v>
      </c>
    </row>
    <row r="2910" spans="9:17" ht="13.9" x14ac:dyDescent="0.4">
      <c r="I2910" s="1073">
        <f t="shared" si="576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5"/>
        <v>0</v>
      </c>
      <c r="P2910" s="160"/>
      <c r="Q2910" s="1071">
        <f t="shared" si="577"/>
        <v>0</v>
      </c>
    </row>
    <row r="2911" spans="9:17" ht="13.9" x14ac:dyDescent="0.4">
      <c r="I2911" s="1073">
        <f t="shared" si="576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5"/>
        <v>0</v>
      </c>
      <c r="P2911" s="160"/>
      <c r="Q2911" s="1071">
        <f t="shared" si="577"/>
        <v>0</v>
      </c>
    </row>
    <row r="2912" spans="9:17" ht="13.9" x14ac:dyDescent="0.4">
      <c r="I2912" s="1073">
        <f t="shared" si="576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5"/>
        <v>0</v>
      </c>
      <c r="P2912" s="158"/>
      <c r="Q2912" s="1071">
        <f t="shared" si="577"/>
        <v>0</v>
      </c>
    </row>
    <row r="2913" spans="9:17" ht="13.9" x14ac:dyDescent="0.4">
      <c r="I2913" s="1073">
        <f t="shared" si="576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5"/>
        <v>0</v>
      </c>
      <c r="P2913" s="158"/>
      <c r="Q2913" s="1071">
        <f t="shared" si="577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8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9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8"/>
        <v>0</v>
      </c>
      <c r="P2921" s="160"/>
      <c r="Q2921" s="1071">
        <f>Q2920</f>
        <v>0</v>
      </c>
    </row>
    <row r="2922" spans="9:17" ht="13.9" x14ac:dyDescent="0.4">
      <c r="I2922" s="1073">
        <f t="shared" si="579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8"/>
        <v>0</v>
      </c>
      <c r="P2922" s="160"/>
      <c r="Q2922" s="1071">
        <f t="shared" ref="Q2922:Q2933" si="580">Q2921</f>
        <v>0</v>
      </c>
    </row>
    <row r="2923" spans="9:17" ht="13.9" x14ac:dyDescent="0.4">
      <c r="I2923" s="1073">
        <f t="shared" si="579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8"/>
        <v>0</v>
      </c>
      <c r="P2923" s="160"/>
      <c r="Q2923" s="1071">
        <f t="shared" si="580"/>
        <v>0</v>
      </c>
    </row>
    <row r="2924" spans="9:17" ht="13.9" x14ac:dyDescent="0.4">
      <c r="I2924" s="1073">
        <f t="shared" si="579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8"/>
        <v>0</v>
      </c>
      <c r="P2924" s="160"/>
      <c r="Q2924" s="1071">
        <f t="shared" si="580"/>
        <v>0</v>
      </c>
    </row>
    <row r="2925" spans="9:17" ht="13.9" x14ac:dyDescent="0.4">
      <c r="I2925" s="1073">
        <f t="shared" si="579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8"/>
        <v>0</v>
      </c>
      <c r="P2925" s="160"/>
      <c r="Q2925" s="1071">
        <f t="shared" si="580"/>
        <v>0</v>
      </c>
    </row>
    <row r="2926" spans="9:17" ht="13.9" x14ac:dyDescent="0.4">
      <c r="I2926" s="1073">
        <f t="shared" si="579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8"/>
        <v>0</v>
      </c>
      <c r="P2926" s="160"/>
      <c r="Q2926" s="1071">
        <f t="shared" si="580"/>
        <v>0</v>
      </c>
    </row>
    <row r="2927" spans="9:17" ht="13.9" x14ac:dyDescent="0.4">
      <c r="I2927" s="1073">
        <f t="shared" si="579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8"/>
        <v>0</v>
      </c>
      <c r="P2927" s="160"/>
      <c r="Q2927" s="1071">
        <f t="shared" si="580"/>
        <v>0</v>
      </c>
    </row>
    <row r="2928" spans="9:17" ht="13.9" x14ac:dyDescent="0.4">
      <c r="I2928" s="1073">
        <f t="shared" si="579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8"/>
        <v>0</v>
      </c>
      <c r="P2928" s="160"/>
      <c r="Q2928" s="1071">
        <f t="shared" si="580"/>
        <v>0</v>
      </c>
    </row>
    <row r="2929" spans="9:17" ht="13.9" x14ac:dyDescent="0.4">
      <c r="I2929" s="1073">
        <f t="shared" si="579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8"/>
        <v>0</v>
      </c>
      <c r="P2929" s="160"/>
      <c r="Q2929" s="1071">
        <f t="shared" si="580"/>
        <v>0</v>
      </c>
    </row>
    <row r="2930" spans="9:17" ht="13.9" x14ac:dyDescent="0.4">
      <c r="I2930" s="1073">
        <f t="shared" si="579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8"/>
        <v>0</v>
      </c>
      <c r="P2930" s="160"/>
      <c r="Q2930" s="1071">
        <f t="shared" si="580"/>
        <v>0</v>
      </c>
    </row>
    <row r="2931" spans="9:17" ht="13.9" x14ac:dyDescent="0.4">
      <c r="I2931" s="1073">
        <f t="shared" si="579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8"/>
        <v>0</v>
      </c>
      <c r="P2931" s="160"/>
      <c r="Q2931" s="1071">
        <f t="shared" si="580"/>
        <v>0</v>
      </c>
    </row>
    <row r="2932" spans="9:17" ht="13.9" x14ac:dyDescent="0.4">
      <c r="I2932" s="1073">
        <f t="shared" si="579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8"/>
        <v>0</v>
      </c>
      <c r="P2932" s="160"/>
      <c r="Q2932" s="1071">
        <f t="shared" si="580"/>
        <v>0</v>
      </c>
    </row>
    <row r="2933" spans="9:17" ht="13.9" x14ac:dyDescent="0.4">
      <c r="I2933" s="1073">
        <f t="shared" si="579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8"/>
        <v>0</v>
      </c>
      <c r="P2933" s="160"/>
      <c r="Q2933" s="1071">
        <f t="shared" si="580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1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2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1"/>
        <v>0</v>
      </c>
      <c r="P2939" s="160"/>
      <c r="Q2939" s="1071">
        <f>Q2938</f>
        <v>0</v>
      </c>
    </row>
    <row r="2940" spans="9:17" ht="13.9" x14ac:dyDescent="0.4">
      <c r="I2940" s="1073">
        <f t="shared" si="582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1"/>
        <v>0</v>
      </c>
      <c r="P2940" s="160"/>
      <c r="Q2940" s="1071">
        <f t="shared" ref="Q2940:Q2947" si="583">Q2939</f>
        <v>0</v>
      </c>
    </row>
    <row r="2941" spans="9:17" ht="13.9" x14ac:dyDescent="0.4">
      <c r="I2941" s="1073">
        <f t="shared" si="582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1"/>
        <v>0</v>
      </c>
      <c r="P2941" s="160"/>
      <c r="Q2941" s="1071">
        <f t="shared" si="583"/>
        <v>0</v>
      </c>
    </row>
    <row r="2942" spans="9:17" ht="13.9" x14ac:dyDescent="0.4">
      <c r="I2942" s="1073">
        <f t="shared" si="582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1"/>
        <v>0</v>
      </c>
      <c r="P2942" s="158"/>
      <c r="Q2942" s="1071">
        <f t="shared" si="583"/>
        <v>0</v>
      </c>
    </row>
    <row r="2943" spans="9:17" ht="13.9" x14ac:dyDescent="0.4">
      <c r="I2943" s="1073">
        <f t="shared" si="582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1"/>
        <v>0</v>
      </c>
      <c r="P2943" s="158"/>
      <c r="Q2943" s="1071">
        <f t="shared" si="583"/>
        <v>0</v>
      </c>
    </row>
    <row r="2944" spans="9:17" ht="13.9" x14ac:dyDescent="0.4">
      <c r="I2944" s="1073">
        <f t="shared" si="582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1"/>
        <v>0</v>
      </c>
      <c r="P2944" s="158"/>
      <c r="Q2944" s="1071">
        <f t="shared" si="583"/>
        <v>0</v>
      </c>
    </row>
    <row r="2945" spans="9:17" ht="13.9" x14ac:dyDescent="0.4">
      <c r="I2945" s="1073">
        <f t="shared" si="582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1"/>
        <v>0</v>
      </c>
      <c r="P2945" s="158"/>
      <c r="Q2945" s="1071">
        <f t="shared" si="583"/>
        <v>0</v>
      </c>
    </row>
    <row r="2946" spans="9:17" ht="13.9" x14ac:dyDescent="0.4">
      <c r="I2946" s="1073">
        <f t="shared" si="582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1"/>
        <v>0</v>
      </c>
      <c r="P2946" s="158"/>
      <c r="Q2946" s="1071">
        <f t="shared" si="583"/>
        <v>0</v>
      </c>
    </row>
    <row r="2947" spans="9:17" ht="13.9" x14ac:dyDescent="0.4">
      <c r="I2947" s="1073">
        <f t="shared" si="582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1"/>
        <v>0</v>
      </c>
      <c r="P2947" s="158"/>
      <c r="Q2947" s="1071">
        <f t="shared" si="583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Nematicide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Growth Regulator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4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5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4"/>
        <v>0</v>
      </c>
      <c r="P2959" s="160"/>
      <c r="Q2959" s="1071">
        <f t="shared" ref="Q2959:Q2964" si="586">Q2958</f>
        <v>0</v>
      </c>
    </row>
    <row r="2960" spans="9:17" ht="13.9" x14ac:dyDescent="0.4">
      <c r="I2960" s="1073">
        <f t="shared" si="585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4"/>
        <v>0</v>
      </c>
      <c r="P2960" s="160"/>
      <c r="Q2960" s="1071">
        <f t="shared" si="586"/>
        <v>0</v>
      </c>
    </row>
    <row r="2961" spans="9:17" ht="13.9" x14ac:dyDescent="0.4">
      <c r="I2961" s="1073">
        <f t="shared" si="585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4"/>
        <v>0</v>
      </c>
      <c r="P2961" s="158"/>
      <c r="Q2961" s="1071">
        <f t="shared" si="586"/>
        <v>0</v>
      </c>
    </row>
    <row r="2962" spans="9:17" ht="13.9" x14ac:dyDescent="0.4">
      <c r="I2962" s="1073">
        <f t="shared" si="585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4"/>
        <v>0</v>
      </c>
      <c r="P2962" s="158"/>
      <c r="Q2962" s="1071">
        <f t="shared" si="586"/>
        <v>0</v>
      </c>
    </row>
    <row r="2963" spans="9:17" ht="13.9" x14ac:dyDescent="0.4">
      <c r="I2963" s="1073">
        <f t="shared" si="585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4"/>
        <v>0</v>
      </c>
      <c r="P2963" s="158"/>
      <c r="Q2963" s="1071">
        <f t="shared" si="586"/>
        <v>0</v>
      </c>
    </row>
    <row r="2964" spans="9:17" ht="13.9" x14ac:dyDescent="0.4">
      <c r="I2964" s="1073">
        <f t="shared" si="585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4"/>
        <v>0</v>
      </c>
      <c r="P2964" s="158"/>
      <c r="Q2964" s="1071">
        <f t="shared" si="586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Defoliant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7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8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7"/>
        <v>0</v>
      </c>
      <c r="P2970" s="160"/>
      <c r="Q2970" s="1071">
        <f t="shared" ref="Q2970:Q2975" si="589">Q2969</f>
        <v>0</v>
      </c>
    </row>
    <row r="2971" spans="9:17" ht="13.9" x14ac:dyDescent="0.4">
      <c r="I2971" s="1073">
        <f t="shared" si="588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7"/>
        <v>0</v>
      </c>
      <c r="P2971" s="160"/>
      <c r="Q2971" s="1071">
        <f t="shared" si="589"/>
        <v>0</v>
      </c>
    </row>
    <row r="2972" spans="9:17" ht="13.9" x14ac:dyDescent="0.4">
      <c r="I2972" s="1073">
        <f t="shared" si="588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7"/>
        <v>0</v>
      </c>
      <c r="P2972" s="160"/>
      <c r="Q2972" s="1071">
        <f t="shared" si="589"/>
        <v>0</v>
      </c>
    </row>
    <row r="2973" spans="9:17" ht="13.9" x14ac:dyDescent="0.4">
      <c r="I2973" s="1073">
        <f t="shared" si="588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7"/>
        <v>0</v>
      </c>
      <c r="P2973" s="160"/>
      <c r="Q2973" s="1071">
        <f t="shared" si="589"/>
        <v>0</v>
      </c>
    </row>
    <row r="2974" spans="9:17" ht="13.9" x14ac:dyDescent="0.4">
      <c r="I2974" s="1073">
        <f t="shared" si="588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7"/>
        <v>0</v>
      </c>
      <c r="P2974" s="158"/>
      <c r="Q2974" s="1071">
        <f t="shared" si="589"/>
        <v>0</v>
      </c>
    </row>
    <row r="2975" spans="9:17" ht="13.9" x14ac:dyDescent="0.4">
      <c r="I2975" s="1073">
        <f t="shared" si="588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7"/>
        <v>0</v>
      </c>
      <c r="P2975" s="158"/>
      <c r="Q2975" s="1071">
        <f t="shared" si="589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90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1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90"/>
        <v>0</v>
      </c>
      <c r="P2983" s="160"/>
      <c r="Q2983" s="1071">
        <f>Q2982</f>
        <v>0</v>
      </c>
    </row>
    <row r="2984" spans="9:17" ht="13.9" x14ac:dyDescent="0.4">
      <c r="I2984" s="1073">
        <f t="shared" si="591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90"/>
        <v>0</v>
      </c>
      <c r="P2984" s="160"/>
      <c r="Q2984" s="1071">
        <f t="shared" ref="Q2984:Q2995" si="592">Q2983</f>
        <v>0</v>
      </c>
    </row>
    <row r="2985" spans="9:17" ht="13.9" x14ac:dyDescent="0.4">
      <c r="I2985" s="1073">
        <f t="shared" si="591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90"/>
        <v>0</v>
      </c>
      <c r="P2985" s="160"/>
      <c r="Q2985" s="1071">
        <f t="shared" si="592"/>
        <v>0</v>
      </c>
    </row>
    <row r="2986" spans="9:17" ht="13.9" x14ac:dyDescent="0.4">
      <c r="I2986" s="1073">
        <f t="shared" si="591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90"/>
        <v>0</v>
      </c>
      <c r="P2986" s="160"/>
      <c r="Q2986" s="1071">
        <f t="shared" si="592"/>
        <v>0</v>
      </c>
    </row>
    <row r="2987" spans="9:17" ht="13.9" x14ac:dyDescent="0.4">
      <c r="I2987" s="1073">
        <f t="shared" si="591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90"/>
        <v>0</v>
      </c>
      <c r="P2987" s="160"/>
      <c r="Q2987" s="1071">
        <f t="shared" si="592"/>
        <v>0</v>
      </c>
    </row>
    <row r="2988" spans="9:17" ht="13.9" x14ac:dyDescent="0.4">
      <c r="I2988" s="1073">
        <f t="shared" si="591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90"/>
        <v>0</v>
      </c>
      <c r="P2988" s="160"/>
      <c r="Q2988" s="1071">
        <f t="shared" si="592"/>
        <v>0</v>
      </c>
    </row>
    <row r="2989" spans="9:17" ht="13.9" x14ac:dyDescent="0.4">
      <c r="I2989" s="1073">
        <f t="shared" si="591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90"/>
        <v>0</v>
      </c>
      <c r="P2989" s="160"/>
      <c r="Q2989" s="1071">
        <f t="shared" si="592"/>
        <v>0</v>
      </c>
    </row>
    <row r="2990" spans="9:17" ht="13.9" x14ac:dyDescent="0.4">
      <c r="I2990" s="1073">
        <f t="shared" si="591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90"/>
        <v>0</v>
      </c>
      <c r="P2990" s="160"/>
      <c r="Q2990" s="1071">
        <f t="shared" si="592"/>
        <v>0</v>
      </c>
    </row>
    <row r="2991" spans="9:17" ht="13.9" x14ac:dyDescent="0.4">
      <c r="I2991" s="1073">
        <f t="shared" si="591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90"/>
        <v>0</v>
      </c>
      <c r="P2991" s="160"/>
      <c r="Q2991" s="1071">
        <f t="shared" si="592"/>
        <v>0</v>
      </c>
    </row>
    <row r="2992" spans="9:17" ht="13.9" x14ac:dyDescent="0.4">
      <c r="I2992" s="1073">
        <f t="shared" si="591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90"/>
        <v>0</v>
      </c>
      <c r="P2992" s="160"/>
      <c r="Q2992" s="1071">
        <f t="shared" si="592"/>
        <v>0</v>
      </c>
    </row>
    <row r="2993" spans="9:17" ht="13.9" x14ac:dyDescent="0.4">
      <c r="I2993" s="1073">
        <f t="shared" si="591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90"/>
        <v>0</v>
      </c>
      <c r="P2993" s="160"/>
      <c r="Q2993" s="1071">
        <f t="shared" si="592"/>
        <v>0</v>
      </c>
    </row>
    <row r="2994" spans="9:17" ht="13.9" x14ac:dyDescent="0.4">
      <c r="I2994" s="1073">
        <f t="shared" si="591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90"/>
        <v>0</v>
      </c>
      <c r="P2994" s="160"/>
      <c r="Q2994" s="1071">
        <f t="shared" si="592"/>
        <v>0</v>
      </c>
    </row>
    <row r="2995" spans="9:17" ht="13.9" x14ac:dyDescent="0.4">
      <c r="I2995" s="1073">
        <f t="shared" si="591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90"/>
        <v>0</v>
      </c>
      <c r="P2995" s="160"/>
      <c r="Q2995" s="1071">
        <f t="shared" si="592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3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4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3"/>
        <v>0</v>
      </c>
      <c r="P3001" s="160"/>
      <c r="Q3001" s="1071">
        <f>Q3000</f>
        <v>0</v>
      </c>
    </row>
    <row r="3002" spans="9:17" ht="13.9" x14ac:dyDescent="0.4">
      <c r="I3002" s="1073">
        <f t="shared" si="594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3"/>
        <v>0</v>
      </c>
      <c r="P3002" s="160"/>
      <c r="Q3002" s="1071">
        <f t="shared" ref="Q3002:Q3009" si="595">Q3001</f>
        <v>0</v>
      </c>
    </row>
    <row r="3003" spans="9:17" ht="13.9" x14ac:dyDescent="0.4">
      <c r="I3003" s="1073">
        <f t="shared" si="594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3"/>
        <v>0</v>
      </c>
      <c r="P3003" s="160"/>
      <c r="Q3003" s="1071">
        <f t="shared" si="595"/>
        <v>0</v>
      </c>
    </row>
    <row r="3004" spans="9:17" ht="13.9" x14ac:dyDescent="0.4">
      <c r="I3004" s="1073">
        <f t="shared" si="594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3"/>
        <v>0</v>
      </c>
      <c r="P3004" s="158"/>
      <c r="Q3004" s="1071">
        <f t="shared" si="595"/>
        <v>0</v>
      </c>
    </row>
    <row r="3005" spans="9:17" ht="13.9" x14ac:dyDescent="0.4">
      <c r="I3005" s="1073">
        <f t="shared" si="594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3"/>
        <v>0</v>
      </c>
      <c r="P3005" s="158"/>
      <c r="Q3005" s="1071">
        <f t="shared" si="595"/>
        <v>0</v>
      </c>
    </row>
    <row r="3006" spans="9:17" ht="13.9" x14ac:dyDescent="0.4">
      <c r="I3006" s="1073">
        <f t="shared" si="594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3"/>
        <v>0</v>
      </c>
      <c r="P3006" s="158"/>
      <c r="Q3006" s="1071">
        <f t="shared" si="595"/>
        <v>0</v>
      </c>
    </row>
    <row r="3007" spans="9:17" ht="13.9" x14ac:dyDescent="0.4">
      <c r="I3007" s="1073">
        <f t="shared" si="594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3"/>
        <v>0</v>
      </c>
      <c r="P3007" s="158"/>
      <c r="Q3007" s="1071">
        <f t="shared" si="595"/>
        <v>0</v>
      </c>
    </row>
    <row r="3008" spans="9:17" ht="13.9" x14ac:dyDescent="0.4">
      <c r="I3008" s="1073">
        <f t="shared" si="594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3"/>
        <v>0</v>
      </c>
      <c r="P3008" s="158"/>
      <c r="Q3008" s="1071">
        <f t="shared" si="595"/>
        <v>0</v>
      </c>
    </row>
    <row r="3009" spans="9:17" ht="13.9" x14ac:dyDescent="0.4">
      <c r="I3009" s="1073">
        <f t="shared" si="594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3"/>
        <v>0</v>
      </c>
      <c r="P3009" s="158"/>
      <c r="Q3009" s="1071">
        <f t="shared" si="595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Nematicide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Growth Regulator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6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7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6"/>
        <v>0</v>
      </c>
      <c r="P3021" s="160"/>
      <c r="Q3021" s="1071">
        <f t="shared" ref="Q3021:Q3026" si="598">Q3020</f>
        <v>0</v>
      </c>
    </row>
    <row r="3022" spans="9:17" ht="13.9" x14ac:dyDescent="0.4">
      <c r="I3022" s="1073">
        <f t="shared" si="597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6"/>
        <v>0</v>
      </c>
      <c r="P3022" s="160"/>
      <c r="Q3022" s="1071">
        <f t="shared" si="598"/>
        <v>0</v>
      </c>
    </row>
    <row r="3023" spans="9:17" ht="13.9" x14ac:dyDescent="0.4">
      <c r="I3023" s="1073">
        <f t="shared" si="597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6"/>
        <v>0</v>
      </c>
      <c r="P3023" s="158"/>
      <c r="Q3023" s="1071">
        <f t="shared" si="598"/>
        <v>0</v>
      </c>
    </row>
    <row r="3024" spans="9:17" ht="13.9" x14ac:dyDescent="0.4">
      <c r="I3024" s="1073">
        <f t="shared" si="597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6"/>
        <v>0</v>
      </c>
      <c r="P3024" s="158"/>
      <c r="Q3024" s="1071">
        <f t="shared" si="598"/>
        <v>0</v>
      </c>
    </row>
    <row r="3025" spans="9:17" ht="13.9" x14ac:dyDescent="0.4">
      <c r="I3025" s="1073">
        <f t="shared" si="597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6"/>
        <v>0</v>
      </c>
      <c r="P3025" s="158"/>
      <c r="Q3025" s="1071">
        <f t="shared" si="598"/>
        <v>0</v>
      </c>
    </row>
    <row r="3026" spans="9:17" ht="13.9" x14ac:dyDescent="0.4">
      <c r="I3026" s="1073">
        <f t="shared" si="597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6"/>
        <v>0</v>
      </c>
      <c r="P3026" s="158"/>
      <c r="Q3026" s="1071">
        <f t="shared" si="598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Defoliant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9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600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9"/>
        <v>0</v>
      </c>
      <c r="P3032" s="160"/>
      <c r="Q3032" s="1071">
        <f t="shared" ref="Q3032:Q3037" si="601">Q3031</f>
        <v>0</v>
      </c>
    </row>
    <row r="3033" spans="9:17" ht="13.9" x14ac:dyDescent="0.4">
      <c r="I3033" s="1073">
        <f t="shared" si="600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9"/>
        <v>0</v>
      </c>
      <c r="P3033" s="160"/>
      <c r="Q3033" s="1071">
        <f t="shared" si="601"/>
        <v>0</v>
      </c>
    </row>
    <row r="3034" spans="9:17" ht="13.9" x14ac:dyDescent="0.4">
      <c r="I3034" s="1073">
        <f t="shared" si="600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9"/>
        <v>0</v>
      </c>
      <c r="P3034" s="160"/>
      <c r="Q3034" s="1071">
        <f t="shared" si="601"/>
        <v>0</v>
      </c>
    </row>
    <row r="3035" spans="9:17" ht="13.9" x14ac:dyDescent="0.4">
      <c r="I3035" s="1073">
        <f t="shared" si="600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9"/>
        <v>0</v>
      </c>
      <c r="P3035" s="160"/>
      <c r="Q3035" s="1071">
        <f t="shared" si="601"/>
        <v>0</v>
      </c>
    </row>
    <row r="3036" spans="9:17" ht="13.9" x14ac:dyDescent="0.4">
      <c r="I3036" s="1073">
        <f t="shared" si="600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9"/>
        <v>0</v>
      </c>
      <c r="P3036" s="158"/>
      <c r="Q3036" s="1071">
        <f t="shared" si="601"/>
        <v>0</v>
      </c>
    </row>
    <row r="3037" spans="9:17" ht="13.9" x14ac:dyDescent="0.4">
      <c r="I3037" s="1073">
        <f t="shared" si="600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9"/>
        <v>0</v>
      </c>
      <c r="P3037" s="158"/>
      <c r="Q3037" s="1071">
        <f t="shared" si="601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2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3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2"/>
        <v>0</v>
      </c>
      <c r="P3045" s="160"/>
      <c r="Q3045" s="1071">
        <f>Q3044</f>
        <v>0</v>
      </c>
    </row>
    <row r="3046" spans="9:17" ht="13.9" x14ac:dyDescent="0.4">
      <c r="I3046" s="1073">
        <f t="shared" si="603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2"/>
        <v>0</v>
      </c>
      <c r="P3046" s="160"/>
      <c r="Q3046" s="1071">
        <f t="shared" ref="Q3046:Q3057" si="604">Q3045</f>
        <v>0</v>
      </c>
    </row>
    <row r="3047" spans="9:17" ht="13.9" x14ac:dyDescent="0.4">
      <c r="I3047" s="1073">
        <f t="shared" si="603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2"/>
        <v>0</v>
      </c>
      <c r="P3047" s="160"/>
      <c r="Q3047" s="1071">
        <f t="shared" si="604"/>
        <v>0</v>
      </c>
    </row>
    <row r="3048" spans="9:17" ht="13.9" x14ac:dyDescent="0.4">
      <c r="I3048" s="1073">
        <f t="shared" si="603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2"/>
        <v>0</v>
      </c>
      <c r="P3048" s="160"/>
      <c r="Q3048" s="1071">
        <f t="shared" si="604"/>
        <v>0</v>
      </c>
    </row>
    <row r="3049" spans="9:17" ht="13.9" x14ac:dyDescent="0.4">
      <c r="I3049" s="1073">
        <f t="shared" si="603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2"/>
        <v>0</v>
      </c>
      <c r="P3049" s="160"/>
      <c r="Q3049" s="1071">
        <f t="shared" si="604"/>
        <v>0</v>
      </c>
    </row>
    <row r="3050" spans="9:17" ht="13.9" x14ac:dyDescent="0.4">
      <c r="I3050" s="1073">
        <f t="shared" si="603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2"/>
        <v>0</v>
      </c>
      <c r="P3050" s="160"/>
      <c r="Q3050" s="1071">
        <f t="shared" si="604"/>
        <v>0</v>
      </c>
    </row>
    <row r="3051" spans="9:17" ht="13.9" x14ac:dyDescent="0.4">
      <c r="I3051" s="1073">
        <f t="shared" si="603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2"/>
        <v>0</v>
      </c>
      <c r="P3051" s="160"/>
      <c r="Q3051" s="1071">
        <f t="shared" si="604"/>
        <v>0</v>
      </c>
    </row>
    <row r="3052" spans="9:17" ht="13.9" x14ac:dyDescent="0.4">
      <c r="I3052" s="1073">
        <f t="shared" si="603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2"/>
        <v>0</v>
      </c>
      <c r="P3052" s="160"/>
      <c r="Q3052" s="1071">
        <f t="shared" si="604"/>
        <v>0</v>
      </c>
    </row>
    <row r="3053" spans="9:17" ht="13.9" x14ac:dyDescent="0.4">
      <c r="I3053" s="1073">
        <f t="shared" si="603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2"/>
        <v>0</v>
      </c>
      <c r="P3053" s="160"/>
      <c r="Q3053" s="1071">
        <f t="shared" si="604"/>
        <v>0</v>
      </c>
    </row>
    <row r="3054" spans="9:17" ht="13.9" x14ac:dyDescent="0.4">
      <c r="I3054" s="1073">
        <f t="shared" si="603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2"/>
        <v>0</v>
      </c>
      <c r="P3054" s="160"/>
      <c r="Q3054" s="1071">
        <f t="shared" si="604"/>
        <v>0</v>
      </c>
    </row>
    <row r="3055" spans="9:17" ht="13.9" x14ac:dyDescent="0.4">
      <c r="I3055" s="1073">
        <f t="shared" si="603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2"/>
        <v>0</v>
      </c>
      <c r="P3055" s="160"/>
      <c r="Q3055" s="1071">
        <f t="shared" si="604"/>
        <v>0</v>
      </c>
    </row>
    <row r="3056" spans="9:17" ht="13.9" x14ac:dyDescent="0.4">
      <c r="I3056" s="1073">
        <f t="shared" si="603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2"/>
        <v>0</v>
      </c>
      <c r="P3056" s="160"/>
      <c r="Q3056" s="1071">
        <f t="shared" si="604"/>
        <v>0</v>
      </c>
    </row>
    <row r="3057" spans="9:17" ht="13.9" x14ac:dyDescent="0.4">
      <c r="I3057" s="1073">
        <f t="shared" si="603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2"/>
        <v>0</v>
      </c>
      <c r="P3057" s="160"/>
      <c r="Q3057" s="1071">
        <f t="shared" si="604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5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6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5"/>
        <v>0</v>
      </c>
      <c r="P3063" s="160"/>
      <c r="Q3063" s="1071">
        <f>Q3062</f>
        <v>0</v>
      </c>
    </row>
    <row r="3064" spans="9:17" ht="13.9" x14ac:dyDescent="0.4">
      <c r="I3064" s="1073">
        <f t="shared" si="606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5"/>
        <v>0</v>
      </c>
      <c r="P3064" s="160"/>
      <c r="Q3064" s="1071">
        <f t="shared" ref="Q3064:Q3071" si="607">Q3063</f>
        <v>0</v>
      </c>
    </row>
    <row r="3065" spans="9:17" ht="13.9" x14ac:dyDescent="0.4">
      <c r="I3065" s="1073">
        <f t="shared" si="606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5"/>
        <v>0</v>
      </c>
      <c r="P3065" s="160"/>
      <c r="Q3065" s="1071">
        <f t="shared" si="607"/>
        <v>0</v>
      </c>
    </row>
    <row r="3066" spans="9:17" ht="13.9" x14ac:dyDescent="0.4">
      <c r="I3066" s="1073">
        <f t="shared" si="606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5"/>
        <v>0</v>
      </c>
      <c r="P3066" s="158"/>
      <c r="Q3066" s="1071">
        <f t="shared" si="607"/>
        <v>0</v>
      </c>
    </row>
    <row r="3067" spans="9:17" ht="13.9" x14ac:dyDescent="0.4">
      <c r="I3067" s="1073">
        <f t="shared" si="606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5"/>
        <v>0</v>
      </c>
      <c r="P3067" s="158"/>
      <c r="Q3067" s="1071">
        <f t="shared" si="607"/>
        <v>0</v>
      </c>
    </row>
    <row r="3068" spans="9:17" ht="13.9" x14ac:dyDescent="0.4">
      <c r="I3068" s="1073">
        <f t="shared" si="606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5"/>
        <v>0</v>
      </c>
      <c r="P3068" s="158"/>
      <c r="Q3068" s="1071">
        <f t="shared" si="607"/>
        <v>0</v>
      </c>
    </row>
    <row r="3069" spans="9:17" ht="13.9" x14ac:dyDescent="0.4">
      <c r="I3069" s="1073">
        <f t="shared" si="606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5"/>
        <v>0</v>
      </c>
      <c r="P3069" s="158"/>
      <c r="Q3069" s="1071">
        <f t="shared" si="607"/>
        <v>0</v>
      </c>
    </row>
    <row r="3070" spans="9:17" ht="13.9" x14ac:dyDescent="0.4">
      <c r="I3070" s="1073">
        <f t="shared" si="606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5"/>
        <v>0</v>
      </c>
      <c r="P3070" s="158"/>
      <c r="Q3070" s="1071">
        <f t="shared" si="607"/>
        <v>0</v>
      </c>
    </row>
    <row r="3071" spans="9:17" ht="13.9" x14ac:dyDescent="0.4">
      <c r="I3071" s="1073">
        <f t="shared" si="606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5"/>
        <v>0</v>
      </c>
      <c r="P3071" s="158"/>
      <c r="Q3071" s="1071">
        <f t="shared" si="607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Nematicide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Growth Regulator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8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9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8"/>
        <v>0</v>
      </c>
      <c r="P3083" s="160"/>
      <c r="Q3083" s="1071">
        <f t="shared" ref="Q3083:Q3088" si="610">Q3082</f>
        <v>0</v>
      </c>
    </row>
    <row r="3084" spans="9:17" ht="13.9" x14ac:dyDescent="0.4">
      <c r="I3084" s="1073">
        <f t="shared" si="609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8"/>
        <v>0</v>
      </c>
      <c r="P3084" s="160"/>
      <c r="Q3084" s="1071">
        <f t="shared" si="610"/>
        <v>0</v>
      </c>
    </row>
    <row r="3085" spans="9:17" ht="13.9" x14ac:dyDescent="0.4">
      <c r="I3085" s="1073">
        <f t="shared" si="609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8"/>
        <v>0</v>
      </c>
      <c r="P3085" s="158"/>
      <c r="Q3085" s="1071">
        <f t="shared" si="610"/>
        <v>0</v>
      </c>
    </row>
    <row r="3086" spans="9:17" ht="13.9" x14ac:dyDescent="0.4">
      <c r="I3086" s="1073">
        <f t="shared" si="609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8"/>
        <v>0</v>
      </c>
      <c r="P3086" s="158"/>
      <c r="Q3086" s="1071">
        <f t="shared" si="610"/>
        <v>0</v>
      </c>
    </row>
    <row r="3087" spans="9:17" ht="13.9" x14ac:dyDescent="0.4">
      <c r="I3087" s="1073">
        <f t="shared" si="609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8"/>
        <v>0</v>
      </c>
      <c r="P3087" s="158"/>
      <c r="Q3087" s="1071">
        <f t="shared" si="610"/>
        <v>0</v>
      </c>
    </row>
    <row r="3088" spans="9:17" ht="13.9" x14ac:dyDescent="0.4">
      <c r="I3088" s="1073">
        <f t="shared" si="609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8"/>
        <v>0</v>
      </c>
      <c r="P3088" s="158"/>
      <c r="Q3088" s="1071">
        <f t="shared" si="610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Defoliant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1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2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1"/>
        <v>0</v>
      </c>
      <c r="P3094" s="160"/>
      <c r="Q3094" s="1071">
        <f t="shared" ref="Q3094:Q3099" si="613">Q3093</f>
        <v>0</v>
      </c>
    </row>
    <row r="3095" spans="9:17" ht="13.9" x14ac:dyDescent="0.4">
      <c r="I3095" s="1073">
        <f t="shared" si="612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1"/>
        <v>0</v>
      </c>
      <c r="P3095" s="160"/>
      <c r="Q3095" s="1071">
        <f t="shared" si="613"/>
        <v>0</v>
      </c>
    </row>
    <row r="3096" spans="9:17" ht="13.9" x14ac:dyDescent="0.4">
      <c r="I3096" s="1073">
        <f t="shared" si="612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1"/>
        <v>0</v>
      </c>
      <c r="P3096" s="160"/>
      <c r="Q3096" s="1071">
        <f t="shared" si="613"/>
        <v>0</v>
      </c>
    </row>
    <row r="3097" spans="9:17" ht="13.9" x14ac:dyDescent="0.4">
      <c r="I3097" s="1073">
        <f t="shared" si="612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1"/>
        <v>0</v>
      </c>
      <c r="P3097" s="160"/>
      <c r="Q3097" s="1071">
        <f t="shared" si="613"/>
        <v>0</v>
      </c>
    </row>
    <row r="3098" spans="9:17" ht="13.9" x14ac:dyDescent="0.4">
      <c r="I3098" s="1073">
        <f t="shared" si="612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1"/>
        <v>0</v>
      </c>
      <c r="P3098" s="158"/>
      <c r="Q3098" s="1071">
        <f t="shared" si="613"/>
        <v>0</v>
      </c>
    </row>
    <row r="3099" spans="9:17" ht="13.9" x14ac:dyDescent="0.4">
      <c r="I3099" s="1073">
        <f t="shared" si="612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1"/>
        <v>0</v>
      </c>
      <c r="P3099" s="158"/>
      <c r="Q3099" s="1071">
        <f t="shared" si="613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1</v>
      </c>
      <c r="D69" s="1926">
        <f>VLOOKUP(50,$N$14:$Z$303,5,FALSE)</f>
        <v>1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1</v>
      </c>
      <c r="D74" s="1924">
        <f>VLOOKUP(55,$N$14:$Z$303,5,FALSE)</f>
        <v>1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1</v>
      </c>
      <c r="R74" s="1925">
        <f>R69</f>
        <v>1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1</v>
      </c>
      <c r="R148" s="1925">
        <f>R143</f>
        <v>1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1</v>
      </c>
      <c r="R222" s="1925">
        <f>R217</f>
        <v>1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1</v>
      </c>
      <c r="R296" s="1925">
        <f>R291</f>
        <v>1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34. Details of Chemicals Applied, ThryvOn Cotton, Furrow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pt</v>
      </c>
      <c r="D4" s="96">
        <f>Seed_Chemical!D12</f>
        <v>2.25</v>
      </c>
      <c r="E4" s="96">
        <f>Seed_Chemical!E12</f>
        <v>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2,4-D</v>
      </c>
      <c r="B5" s="104" t="e">
        <f>Seed_Chemical!#REF!</f>
        <v>#REF!</v>
      </c>
      <c r="C5" s="104" t="str">
        <f>Seed_Chemical!C13</f>
        <v>pt</v>
      </c>
      <c r="D5" s="96">
        <f>Seed_Chemical!D13</f>
        <v>4.375</v>
      </c>
      <c r="E5" s="96">
        <f>Seed_Chemical!E13</f>
        <v>1.5</v>
      </c>
      <c r="F5" s="96">
        <f>Seed_Chemical!F13</f>
        <v>6.5625</v>
      </c>
      <c r="G5" s="106" t="e">
        <f>Seed_Chemical!#REF!</f>
        <v>#REF!</v>
      </c>
    </row>
    <row r="6" spans="1:7" ht="13.9" x14ac:dyDescent="0.4">
      <c r="A6" s="96" t="str">
        <f>Seed_Chemical!A14</f>
        <v>Brake</v>
      </c>
      <c r="B6" s="104" t="e">
        <f>Seed_Chemical!#REF!</f>
        <v>#REF!</v>
      </c>
      <c r="C6" s="104" t="str">
        <f>Seed_Chemical!C14</f>
        <v>pt</v>
      </c>
      <c r="D6" s="96">
        <f>Seed_Chemical!D14</f>
        <v>25.5</v>
      </c>
      <c r="E6" s="96">
        <f>Seed_Chemical!E14</f>
        <v>1</v>
      </c>
      <c r="F6" s="96">
        <f>Seed_Chemical!F14</f>
        <v>25.5</v>
      </c>
      <c r="G6" s="106" t="e">
        <f>Seed_Chemical!#REF!</f>
        <v>#REF!</v>
      </c>
    </row>
    <row r="7" spans="1:7" ht="13.9" x14ac:dyDescent="0.4">
      <c r="A7" s="96" t="str">
        <f>Seed_Chemical!A15</f>
        <v>Cotoran</v>
      </c>
      <c r="B7" s="104" t="e">
        <f>Seed_Chemical!#REF!</f>
        <v>#REF!</v>
      </c>
      <c r="C7" s="104" t="str">
        <f>Seed_Chemical!C15</f>
        <v>pt</v>
      </c>
      <c r="D7" s="96">
        <f>Seed_Chemical!D15</f>
        <v>2.5</v>
      </c>
      <c r="E7" s="96">
        <f>Seed_Chemical!E15</f>
        <v>1.6</v>
      </c>
      <c r="F7" s="96">
        <f>Seed_Chemical!F15</f>
        <v>4</v>
      </c>
      <c r="G7" s="106" t="e">
        <f>Seed_Chemical!#REF!</f>
        <v>#REF!</v>
      </c>
    </row>
    <row r="8" spans="1:7" ht="13.9" x14ac:dyDescent="0.4">
      <c r="A8" s="96" t="str">
        <f>Seed_Chemical!A16</f>
        <v>Liberty</v>
      </c>
      <c r="B8" s="104" t="e">
        <f>Seed_Chemical!#REF!</f>
        <v>#REF!</v>
      </c>
      <c r="C8" s="104" t="str">
        <f>Seed_Chemical!C16</f>
        <v>oz</v>
      </c>
      <c r="D8" s="96">
        <f>Seed_Chemical!D16</f>
        <v>0.28875000000000001</v>
      </c>
      <c r="E8" s="96">
        <f>Seed_Chemical!E16</f>
        <v>32</v>
      </c>
      <c r="F8" s="96">
        <f>Seed_Chemical!F16</f>
        <v>9.24</v>
      </c>
      <c r="G8" s="106" t="e">
        <f>Seed_Chemical!#REF!</f>
        <v>#REF!</v>
      </c>
    </row>
    <row r="9" spans="1:7" ht="13.9" x14ac:dyDescent="0.4">
      <c r="A9" s="96" t="str">
        <f>Seed_Chemical!A17</f>
        <v>Outlook</v>
      </c>
      <c r="B9" s="104" t="e">
        <f>Seed_Chemical!#REF!</f>
        <v>#REF!</v>
      </c>
      <c r="C9" s="104" t="str">
        <f>Seed_Chemical!C17</f>
        <v>oz</v>
      </c>
      <c r="D9" s="96">
        <f>Seed_Chemical!D17</f>
        <v>0.84234374999999995</v>
      </c>
      <c r="E9" s="96">
        <f>Seed_Chemical!E17</f>
        <v>12.8</v>
      </c>
      <c r="F9" s="96">
        <f>Seed_Chemical!F17</f>
        <v>10.782</v>
      </c>
      <c r="G9" s="106" t="e">
        <f>Seed_Chemical!#REF!</f>
        <v>#REF!</v>
      </c>
    </row>
    <row r="10" spans="1:7" ht="13.9" x14ac:dyDescent="0.4">
      <c r="A10" s="96" t="str">
        <f>Seed_Chemical!A18</f>
        <v>Liberty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0.28875000000000001</v>
      </c>
      <c r="E10" s="96">
        <f>Seed_Chemical!E18</f>
        <v>32</v>
      </c>
      <c r="F10" s="96">
        <f>Seed_Chemical!F18</f>
        <v>9.24</v>
      </c>
      <c r="G10" s="106" t="e">
        <f>Seed_Chemical!#REF!</f>
        <v>#REF!</v>
      </c>
    </row>
    <row r="11" spans="1:7" ht="13.9" x14ac:dyDescent="0.4">
      <c r="A11" s="96" t="str">
        <f>Seed_Chemical!A19</f>
        <v>Metolachlor</v>
      </c>
      <c r="B11" s="104" t="e">
        <f>Seed_Chemical!#REF!</f>
        <v>#REF!</v>
      </c>
      <c r="C11" s="104" t="str">
        <f>Seed_Chemical!C19</f>
        <v>pt</v>
      </c>
      <c r="D11" s="96">
        <f>Seed_Chemical!D19</f>
        <v>5.0387500000000003</v>
      </c>
      <c r="E11" s="96">
        <f>Seed_Chemical!E19</f>
        <v>1</v>
      </c>
      <c r="F11" s="96">
        <f>Seed_Chemical!F19</f>
        <v>5.0387500000000003</v>
      </c>
      <c r="G11" s="106" t="e">
        <f>Seed_Chemical!#REF!</f>
        <v>#REF!</v>
      </c>
    </row>
    <row r="12" spans="1:7" ht="13.9" x14ac:dyDescent="0.4">
      <c r="A12" s="96" t="str">
        <f>Seed_Chemical!A20</f>
        <v>Liberty</v>
      </c>
      <c r="B12" s="104" t="e">
        <f>Seed_Chemical!#REF!</f>
        <v>#REF!</v>
      </c>
      <c r="C12" s="104" t="str">
        <f>Seed_Chemical!C20</f>
        <v>oz</v>
      </c>
      <c r="D12" s="96">
        <f>Seed_Chemical!D20</f>
        <v>0.28875000000000001</v>
      </c>
      <c r="E12" s="96">
        <f>Seed_Chemical!E20</f>
        <v>32</v>
      </c>
      <c r="F12" s="96">
        <f>Seed_Chemical!F20</f>
        <v>9.24</v>
      </c>
      <c r="G12" s="106" t="e">
        <f>Seed_Chemical!#REF!</f>
        <v>#REF!</v>
      </c>
    </row>
    <row r="13" spans="1:7" ht="13.9" x14ac:dyDescent="0.4">
      <c r="A13" s="96" t="str">
        <f>Seed_Chemical!A21</f>
        <v>Direx</v>
      </c>
      <c r="B13" s="104" t="e">
        <f>Seed_Chemical!#REF!</f>
        <v>#REF!</v>
      </c>
      <c r="C13" s="104" t="str">
        <f>Seed_Chemical!C21</f>
        <v>pt</v>
      </c>
      <c r="D13" s="96">
        <f>Seed_Chemical!D21</f>
        <v>4.4637500000000001</v>
      </c>
      <c r="E13" s="96">
        <f>Seed_Chemical!E21</f>
        <v>1.5</v>
      </c>
      <c r="F13" s="96">
        <f>Seed_Chemical!F21</f>
        <v>6.6956249999999997</v>
      </c>
      <c r="G13" s="106" t="e">
        <f>Seed_Chemical!#REF!</f>
        <v>#REF!</v>
      </c>
    </row>
    <row r="14" spans="1:7" ht="13.9" x14ac:dyDescent="0.4">
      <c r="A14" s="96" t="str">
        <f>Seed_Chemical!A22</f>
        <v>MSMA 6</v>
      </c>
      <c r="B14" s="104" t="e">
        <f>Seed_Chemical!#REF!</f>
        <v>#REF!</v>
      </c>
      <c r="C14" s="104" t="str">
        <f>Seed_Chemical!C22</f>
        <v>qt</v>
      </c>
      <c r="D14" s="96">
        <f>Seed_Chemical!D22</f>
        <v>14.375</v>
      </c>
      <c r="E14" s="96">
        <f>Seed_Chemical!E22</f>
        <v>1.5</v>
      </c>
      <c r="F14" s="96">
        <f>Seed_Chemical!F22</f>
        <v>21.5625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112.36137499999998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>Centric</v>
      </c>
      <c r="B22" s="104" t="e">
        <f>Seed_Chemical!#REF!</f>
        <v>#REF!</v>
      </c>
      <c r="C22" s="104" t="str">
        <f>Seed_Chemical!C30</f>
        <v>oz</v>
      </c>
      <c r="D22" s="96">
        <f>Seed_Chemical!D30</f>
        <v>5.95</v>
      </c>
      <c r="E22" s="96">
        <f>Seed_Chemical!E30</f>
        <v>2</v>
      </c>
      <c r="F22" s="96">
        <f>Seed_Chemical!F30</f>
        <v>11.9</v>
      </c>
      <c r="G22" s="106" t="e">
        <f>Seed_Chemical!#REF!</f>
        <v>#REF!</v>
      </c>
    </row>
    <row r="23" spans="1:7" ht="13.9" x14ac:dyDescent="0.4">
      <c r="A23" s="96" t="str">
        <f>Seed_Chemical!A31</f>
        <v>Diamond</v>
      </c>
      <c r="B23" s="104" t="e">
        <f>Seed_Chemical!#REF!</f>
        <v>#REF!</v>
      </c>
      <c r="C23" s="104" t="str">
        <f>Seed_Chemical!C31</f>
        <v>oz</v>
      </c>
      <c r="D23" s="96">
        <f>Seed_Chemical!D31</f>
        <v>1.1971354166666666</v>
      </c>
      <c r="E23" s="96">
        <f>Seed_Chemical!E31</f>
        <v>6</v>
      </c>
      <c r="F23" s="96">
        <f>Seed_Chemical!F31</f>
        <v>7.1828124999999989</v>
      </c>
      <c r="G23" s="106" t="e">
        <f>Seed_Chemical!#REF!</f>
        <v>#REF!</v>
      </c>
    </row>
    <row r="24" spans="1:7" ht="13.9" x14ac:dyDescent="0.4">
      <c r="A24" s="96" t="str">
        <f>Seed_Chemical!A32</f>
        <v>Centric</v>
      </c>
      <c r="B24" s="104" t="e">
        <f>Seed_Chemical!#REF!</f>
        <v>#REF!</v>
      </c>
      <c r="C24" s="104" t="str">
        <f>Seed_Chemical!C32</f>
        <v>oz</v>
      </c>
      <c r="D24" s="96">
        <f>Seed_Chemical!D32</f>
        <v>5.95</v>
      </c>
      <c r="E24" s="96">
        <f>Seed_Chemical!E32</f>
        <v>2</v>
      </c>
      <c r="F24" s="96">
        <f>Seed_Chemical!F32</f>
        <v>11.9</v>
      </c>
      <c r="G24" s="106" t="e">
        <f>Seed_Chemical!#REF!</f>
        <v>#REF!</v>
      </c>
    </row>
    <row r="25" spans="1:7" ht="13.9" x14ac:dyDescent="0.4">
      <c r="A25" s="96" t="str">
        <f>Seed_Chemical!A33</f>
        <v>Diamond</v>
      </c>
      <c r="B25" s="104" t="e">
        <f>Seed_Chemical!#REF!</f>
        <v>#REF!</v>
      </c>
      <c r="C25" s="104" t="str">
        <f>Seed_Chemical!C33</f>
        <v>oz</v>
      </c>
      <c r="D25" s="96">
        <f>Seed_Chemical!D33</f>
        <v>1.1971354166666666</v>
      </c>
      <c r="E25" s="96">
        <f>Seed_Chemical!E33</f>
        <v>6</v>
      </c>
      <c r="F25" s="96">
        <f>Seed_Chemical!F33</f>
        <v>7.1828124999999989</v>
      </c>
      <c r="G25" s="106" t="e">
        <f>Seed_Chemical!#REF!</f>
        <v>#REF!</v>
      </c>
    </row>
    <row r="26" spans="1:7" ht="13.9" x14ac:dyDescent="0.4">
      <c r="A26" s="96" t="str">
        <f>Seed_Chemical!A34</f>
        <v xml:space="preserve"> </v>
      </c>
      <c r="B26" s="104" t="e">
        <f>Seed_Chemical!#REF!</f>
        <v>#REF!</v>
      </c>
      <c r="C26" s="104" t="str">
        <f>Seed_Chemical!C34</f>
        <v xml:space="preserve"> </v>
      </c>
      <c r="D26" s="96">
        <f>Seed_Chemical!D34</f>
        <v>0</v>
      </c>
      <c r="E26" s="96">
        <f>Seed_Chemical!E34</f>
        <v>0</v>
      </c>
      <c r="F26" s="96">
        <f>Seed_Chemical!F34</f>
        <v>0</v>
      </c>
      <c r="G26" s="106" t="e">
        <f>Seed_Chemical!#REF!</f>
        <v>#REF!</v>
      </c>
    </row>
    <row r="27" spans="1:7" ht="13.9" x14ac:dyDescent="0.4">
      <c r="A27" s="96" t="str">
        <f>Seed_Chemical!A35</f>
        <v xml:space="preserve"> </v>
      </c>
      <c r="B27" s="104" t="e">
        <f>Seed_Chemical!#REF!</f>
        <v>#REF!</v>
      </c>
      <c r="C27" s="104" t="str">
        <f>Seed_Chemical!C35</f>
        <v xml:space="preserve"> </v>
      </c>
      <c r="D27" s="96">
        <f>Seed_Chemical!D35</f>
        <v>0</v>
      </c>
      <c r="E27" s="96">
        <f>Seed_Chemical!E35</f>
        <v>0</v>
      </c>
      <c r="F27" s="96">
        <f>Seed_Chemical!F35</f>
        <v>0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38.165624999999999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Nematicide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 xml:space="preserve"> </v>
      </c>
      <c r="B36" s="104" t="e">
        <f>Seed_Chemical!#REF!</f>
        <v>#REF!</v>
      </c>
      <c r="C36" s="104" t="str">
        <f>Seed_Chemical!C44</f>
        <v xml:space="preserve"> </v>
      </c>
      <c r="D36" s="96">
        <f>Seed_Chemical!D44</f>
        <v>0</v>
      </c>
      <c r="E36" s="96">
        <f>Seed_Chemical!E44</f>
        <v>0</v>
      </c>
      <c r="F36" s="96">
        <f>Seed_Chemical!F44</f>
        <v>0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0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Growth Regulator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>Mepiquat</v>
      </c>
      <c r="B42" s="104" t="e">
        <f>Seed_Chemical!#REF!</f>
        <v>#REF!</v>
      </c>
      <c r="C42" s="104" t="str">
        <f>Seed_Chemical!C50</f>
        <v>oz</v>
      </c>
      <c r="D42" s="96">
        <f>Seed_Chemical!D50</f>
        <v>4.9796874999999997E-2</v>
      </c>
      <c r="E42" s="96">
        <f>Seed_Chemical!E50</f>
        <v>16</v>
      </c>
      <c r="F42" s="96">
        <f>Seed_Chemical!F50</f>
        <v>0.79674999999999996</v>
      </c>
      <c r="G42" s="106" t="e">
        <f>Seed_Chemical!#REF!</f>
        <v>#REF!</v>
      </c>
    </row>
    <row r="43" spans="1:7" ht="13.9" x14ac:dyDescent="0.4">
      <c r="A43" s="96" t="str">
        <f>Seed_Chemical!A51</f>
        <v>Mepiquat</v>
      </c>
      <c r="B43" s="104" t="e">
        <f>Seed_Chemical!#REF!</f>
        <v>#REF!</v>
      </c>
      <c r="C43" s="104" t="str">
        <f>Seed_Chemical!C51</f>
        <v>oz</v>
      </c>
      <c r="D43" s="96">
        <f>Seed_Chemical!D51</f>
        <v>4.9796874999999997E-2</v>
      </c>
      <c r="E43" s="96">
        <f>Seed_Chemical!E51</f>
        <v>20</v>
      </c>
      <c r="F43" s="96">
        <f>Seed_Chemical!F51</f>
        <v>0.99593749999999992</v>
      </c>
      <c r="G43" s="106" t="e">
        <f>Seed_Chemical!#REF!</f>
        <v>#REF!</v>
      </c>
    </row>
    <row r="44" spans="1:7" ht="13.9" x14ac:dyDescent="0.4">
      <c r="A44" s="96" t="str">
        <f>Seed_Chemical!A52</f>
        <v>Mepiquat</v>
      </c>
      <c r="B44" s="104" t="e">
        <f>Seed_Chemical!#REF!</f>
        <v>#REF!</v>
      </c>
      <c r="C44" s="104" t="str">
        <f>Seed_Chemical!C52</f>
        <v>oz</v>
      </c>
      <c r="D44" s="96">
        <f>Seed_Chemical!D52</f>
        <v>4.9796874999999997E-2</v>
      </c>
      <c r="E44" s="96">
        <f>Seed_Chemical!E52</f>
        <v>20</v>
      </c>
      <c r="F44" s="96">
        <f>Seed_Chemical!F52</f>
        <v>0.99593749999999992</v>
      </c>
      <c r="G44" s="106" t="e">
        <f>Seed_Chemical!#REF!</f>
        <v>#REF!</v>
      </c>
    </row>
    <row r="45" spans="1:7" ht="13.9" x14ac:dyDescent="0.4">
      <c r="A45" s="96" t="str">
        <f>Seed_Chemical!A53</f>
        <v>Mepiquat</v>
      </c>
      <c r="B45" s="104" t="e">
        <f>Seed_Chemical!#REF!</f>
        <v>#REF!</v>
      </c>
      <c r="C45" s="104" t="str">
        <f>Seed_Chemical!C53</f>
        <v>oz</v>
      </c>
      <c r="D45" s="96">
        <f>Seed_Chemical!D53</f>
        <v>4.9796874999999997E-2</v>
      </c>
      <c r="E45" s="96">
        <f>Seed_Chemical!E53</f>
        <v>20</v>
      </c>
      <c r="F45" s="96">
        <f>Seed_Chemical!F53</f>
        <v>0.99593749999999992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3.7845624999999998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Defoliant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>Dropp</v>
      </c>
      <c r="B53" s="104" t="e">
        <f>Seed_Chemical!#REF!</f>
        <v>#REF!</v>
      </c>
      <c r="C53" s="104" t="str">
        <f>Seed_Chemical!C61</f>
        <v>oz</v>
      </c>
      <c r="D53" s="96">
        <f>Seed_Chemical!D61</f>
        <v>0.78125</v>
      </c>
      <c r="E53" s="96">
        <f>Seed_Chemical!E61</f>
        <v>2</v>
      </c>
      <c r="F53" s="96">
        <f>Seed_Chemical!F61</f>
        <v>1.5625</v>
      </c>
      <c r="G53" s="106" t="e">
        <f>Seed_Chemical!#REF!</f>
        <v>#REF!</v>
      </c>
    </row>
    <row r="54" spans="1:7" ht="13.9" x14ac:dyDescent="0.4">
      <c r="A54" s="96" t="str">
        <f>Seed_Chemical!A62</f>
        <v>Folex</v>
      </c>
      <c r="B54" s="104" t="e">
        <f>Seed_Chemical!#REF!</f>
        <v>#REF!</v>
      </c>
      <c r="C54" s="104" t="str">
        <f>Seed_Chemical!C62</f>
        <v>oz</v>
      </c>
      <c r="D54" s="96">
        <f>Seed_Chemical!D62</f>
        <v>0.5234375</v>
      </c>
      <c r="E54" s="96">
        <f>Seed_Chemical!E62</f>
        <v>6</v>
      </c>
      <c r="F54" s="96">
        <f>Seed_Chemical!F62</f>
        <v>3.140625</v>
      </c>
      <c r="G54" s="106" t="e">
        <f>Seed_Chemical!#REF!</f>
        <v>#REF!</v>
      </c>
    </row>
    <row r="55" spans="1:7" ht="13.9" x14ac:dyDescent="0.4">
      <c r="A55" s="96" t="str">
        <f>Seed_Chemical!A63</f>
        <v>Prep</v>
      </c>
      <c r="B55" s="104" t="e">
        <f>Seed_Chemical!#REF!</f>
        <v>#REF!</v>
      </c>
      <c r="C55" s="104" t="str">
        <f>Seed_Chemical!C63</f>
        <v>oz</v>
      </c>
      <c r="D55" s="96">
        <f>Seed_Chemical!D63</f>
        <v>0.28125</v>
      </c>
      <c r="E55" s="96">
        <f>Seed_Chemical!E63</f>
        <v>6</v>
      </c>
      <c r="F55" s="96">
        <f>Seed_Chemical!F63</f>
        <v>1.6875</v>
      </c>
      <c r="G55" s="106" t="e">
        <f>Seed_Chemical!#REF!</f>
        <v>#REF!</v>
      </c>
    </row>
    <row r="56" spans="1:7" ht="13.9" x14ac:dyDescent="0.4">
      <c r="A56" s="96" t="str">
        <f>Seed_Chemical!A64</f>
        <v>Folex</v>
      </c>
      <c r="B56" s="104" t="e">
        <f>Seed_Chemical!#REF!</f>
        <v>#REF!</v>
      </c>
      <c r="C56" s="104" t="str">
        <f>Seed_Chemical!C64</f>
        <v>oz</v>
      </c>
      <c r="D56" s="96">
        <f>Seed_Chemical!D64</f>
        <v>0.5234375</v>
      </c>
      <c r="E56" s="96">
        <f>Seed_Chemical!E64</f>
        <v>8</v>
      </c>
      <c r="F56" s="96">
        <f>Seed_Chemical!F64</f>
        <v>4.1875</v>
      </c>
      <c r="G56" s="106" t="e">
        <f>Seed_Chemical!#REF!</f>
        <v>#REF!</v>
      </c>
    </row>
    <row r="57" spans="1:7" ht="13.9" x14ac:dyDescent="0.4">
      <c r="A57" s="96" t="str">
        <f>Seed_Chemical!A65</f>
        <v>Prep</v>
      </c>
      <c r="B57" s="104" t="e">
        <f>Seed_Chemical!#REF!</f>
        <v>#REF!</v>
      </c>
      <c r="C57" s="104" t="str">
        <f>Seed_Chemical!C65</f>
        <v>oz</v>
      </c>
      <c r="D57" s="96">
        <f>Seed_Chemical!D65</f>
        <v>0.28125</v>
      </c>
      <c r="E57" s="96">
        <f>Seed_Chemical!E65</f>
        <v>32</v>
      </c>
      <c r="F57" s="96">
        <f>Seed_Chemical!F65</f>
        <v>9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19.578125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34. Details of Chemicals Applied, ThryvOn Cotton, Furrow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pt</v>
      </c>
      <c r="D4" s="96">
        <f>Seed_Chemical!D12</f>
        <v>2.25</v>
      </c>
      <c r="E4" s="96">
        <f>Seed_Chemical!E12</f>
        <v>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2,4-D</v>
      </c>
      <c r="B5" s="104" t="e">
        <f>Seed_Chemical!#REF!</f>
        <v>#REF!</v>
      </c>
      <c r="C5" s="104" t="str">
        <f>Seed_Chemical!C13</f>
        <v>pt</v>
      </c>
      <c r="D5" s="96">
        <f>Seed_Chemical!D13</f>
        <v>4.375</v>
      </c>
      <c r="E5" s="96">
        <f>Seed_Chemical!E13</f>
        <v>1.5</v>
      </c>
      <c r="F5" s="96">
        <f>Seed_Chemical!F13</f>
        <v>6.5625</v>
      </c>
      <c r="G5" s="106" t="e">
        <f>Seed_Chemical!#REF!</f>
        <v>#REF!</v>
      </c>
    </row>
    <row r="6" spans="1:7" ht="13.9" x14ac:dyDescent="0.4">
      <c r="A6" s="96" t="str">
        <f>Seed_Chemical!A14</f>
        <v>Brake</v>
      </c>
      <c r="B6" s="104" t="e">
        <f>Seed_Chemical!#REF!</f>
        <v>#REF!</v>
      </c>
      <c r="C6" s="104" t="str">
        <f>Seed_Chemical!C14</f>
        <v>pt</v>
      </c>
      <c r="D6" s="96">
        <f>Seed_Chemical!D14</f>
        <v>25.5</v>
      </c>
      <c r="E6" s="96">
        <f>Seed_Chemical!E14</f>
        <v>1</v>
      </c>
      <c r="F6" s="96">
        <f>Seed_Chemical!F14</f>
        <v>25.5</v>
      </c>
      <c r="G6" s="106" t="e">
        <f>Seed_Chemical!#REF!</f>
        <v>#REF!</v>
      </c>
    </row>
    <row r="7" spans="1:7" ht="13.9" x14ac:dyDescent="0.4">
      <c r="A7" s="96" t="str">
        <f>Seed_Chemical!A15</f>
        <v>Cotoran</v>
      </c>
      <c r="B7" s="104" t="e">
        <f>Seed_Chemical!#REF!</f>
        <v>#REF!</v>
      </c>
      <c r="C7" s="104" t="str">
        <f>Seed_Chemical!C15</f>
        <v>pt</v>
      </c>
      <c r="D7" s="96">
        <f>Seed_Chemical!D15</f>
        <v>2.5</v>
      </c>
      <c r="E7" s="96">
        <f>Seed_Chemical!E15</f>
        <v>1.6</v>
      </c>
      <c r="F7" s="96">
        <f>Seed_Chemical!F15</f>
        <v>4</v>
      </c>
      <c r="G7" s="106" t="e">
        <f>Seed_Chemical!#REF!</f>
        <v>#REF!</v>
      </c>
    </row>
    <row r="8" spans="1:7" ht="13.9" x14ac:dyDescent="0.4">
      <c r="A8" s="96" t="str">
        <f>Seed_Chemical!A16</f>
        <v>Liberty</v>
      </c>
      <c r="B8" s="104" t="e">
        <f>Seed_Chemical!#REF!</f>
        <v>#REF!</v>
      </c>
      <c r="C8" s="104" t="str">
        <f>Seed_Chemical!C16</f>
        <v>oz</v>
      </c>
      <c r="D8" s="96">
        <f>Seed_Chemical!D16</f>
        <v>0.28875000000000001</v>
      </c>
      <c r="E8" s="96">
        <f>Seed_Chemical!E16</f>
        <v>32</v>
      </c>
      <c r="F8" s="96">
        <f>Seed_Chemical!F16</f>
        <v>9.24</v>
      </c>
      <c r="G8" s="106" t="e">
        <f>Seed_Chemical!#REF!</f>
        <v>#REF!</v>
      </c>
    </row>
    <row r="9" spans="1:7" ht="13.9" x14ac:dyDescent="0.4">
      <c r="A9" s="96" t="str">
        <f>Seed_Chemical!A17</f>
        <v>Outlook</v>
      </c>
      <c r="B9" s="104" t="e">
        <f>Seed_Chemical!#REF!</f>
        <v>#REF!</v>
      </c>
      <c r="C9" s="104" t="str">
        <f>Seed_Chemical!C17</f>
        <v>oz</v>
      </c>
      <c r="D9" s="96">
        <f>Seed_Chemical!D17</f>
        <v>0.84234374999999995</v>
      </c>
      <c r="E9" s="96">
        <f>Seed_Chemical!E17</f>
        <v>12.8</v>
      </c>
      <c r="F9" s="96">
        <f>Seed_Chemical!F17</f>
        <v>10.782</v>
      </c>
      <c r="G9" s="106" t="e">
        <f>Seed_Chemical!#REF!</f>
        <v>#REF!</v>
      </c>
    </row>
    <row r="10" spans="1:7" ht="13.9" x14ac:dyDescent="0.4">
      <c r="A10" s="96" t="str">
        <f>Seed_Chemical!A18</f>
        <v>Liberty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0.28875000000000001</v>
      </c>
      <c r="E10" s="96">
        <f>Seed_Chemical!E18</f>
        <v>32</v>
      </c>
      <c r="F10" s="96">
        <f>Seed_Chemical!F18</f>
        <v>9.24</v>
      </c>
      <c r="G10" s="106" t="e">
        <f>Seed_Chemical!#REF!</f>
        <v>#REF!</v>
      </c>
    </row>
    <row r="11" spans="1:7" ht="13.9" x14ac:dyDescent="0.4">
      <c r="A11" s="96" t="str">
        <f>Seed_Chemical!A19</f>
        <v>Metolachlor</v>
      </c>
      <c r="B11" s="104" t="e">
        <f>Seed_Chemical!#REF!</f>
        <v>#REF!</v>
      </c>
      <c r="C11" s="104" t="str">
        <f>Seed_Chemical!C19</f>
        <v>pt</v>
      </c>
      <c r="D11" s="96">
        <f>Seed_Chemical!D19</f>
        <v>5.0387500000000003</v>
      </c>
      <c r="E11" s="96">
        <f>Seed_Chemical!E19</f>
        <v>1</v>
      </c>
      <c r="F11" s="96">
        <f>Seed_Chemical!F19</f>
        <v>5.0387500000000003</v>
      </c>
      <c r="G11" s="106" t="e">
        <f>Seed_Chemical!#REF!</f>
        <v>#REF!</v>
      </c>
    </row>
    <row r="12" spans="1:7" ht="13.9" x14ac:dyDescent="0.4">
      <c r="A12" s="96" t="str">
        <f>Seed_Chemical!A20</f>
        <v>Liberty</v>
      </c>
      <c r="B12" s="104" t="e">
        <f>Seed_Chemical!#REF!</f>
        <v>#REF!</v>
      </c>
      <c r="C12" s="104" t="str">
        <f>Seed_Chemical!C20</f>
        <v>oz</v>
      </c>
      <c r="D12" s="96">
        <f>Seed_Chemical!D20</f>
        <v>0.28875000000000001</v>
      </c>
      <c r="E12" s="96">
        <f>Seed_Chemical!E20</f>
        <v>32</v>
      </c>
      <c r="F12" s="96">
        <f>Seed_Chemical!F20</f>
        <v>9.24</v>
      </c>
      <c r="G12" s="106" t="e">
        <f>Seed_Chemical!#REF!</f>
        <v>#REF!</v>
      </c>
    </row>
    <row r="13" spans="1:7" ht="13.9" x14ac:dyDescent="0.4">
      <c r="A13" s="96" t="str">
        <f>Seed_Chemical!A21</f>
        <v>Direx</v>
      </c>
      <c r="B13" s="104" t="e">
        <f>Seed_Chemical!#REF!</f>
        <v>#REF!</v>
      </c>
      <c r="C13" s="104" t="str">
        <f>Seed_Chemical!C21</f>
        <v>pt</v>
      </c>
      <c r="D13" s="96">
        <f>Seed_Chemical!D21</f>
        <v>4.4637500000000001</v>
      </c>
      <c r="E13" s="96">
        <f>Seed_Chemical!E21</f>
        <v>1.5</v>
      </c>
      <c r="F13" s="96">
        <f>Seed_Chemical!F21</f>
        <v>6.6956249999999997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112.36137499999998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>Centric</v>
      </c>
      <c r="B18" s="104" t="e">
        <f>Seed_Chemical!#REF!</f>
        <v>#REF!</v>
      </c>
      <c r="C18" s="104" t="str">
        <f>Seed_Chemical!C30</f>
        <v>oz</v>
      </c>
      <c r="D18" s="96">
        <f>Seed_Chemical!D30</f>
        <v>5.95</v>
      </c>
      <c r="E18" s="96">
        <f>Seed_Chemical!E30</f>
        <v>2</v>
      </c>
      <c r="F18" s="96">
        <f>Seed_Chemical!F30</f>
        <v>11.9</v>
      </c>
      <c r="G18" s="106" t="e">
        <f>Seed_Chemical!#REF!</f>
        <v>#REF!</v>
      </c>
    </row>
    <row r="19" spans="1:7" ht="13.9" x14ac:dyDescent="0.4">
      <c r="A19" s="96" t="str">
        <f>Seed_Chemical!A31</f>
        <v>Diamond</v>
      </c>
      <c r="B19" s="104" t="e">
        <f>Seed_Chemical!#REF!</f>
        <v>#REF!</v>
      </c>
      <c r="C19" s="104" t="str">
        <f>Seed_Chemical!C31</f>
        <v>oz</v>
      </c>
      <c r="D19" s="96">
        <f>Seed_Chemical!D31</f>
        <v>1.1971354166666666</v>
      </c>
      <c r="E19" s="96">
        <f>Seed_Chemical!E31</f>
        <v>6</v>
      </c>
      <c r="F19" s="96">
        <f>Seed_Chemical!F31</f>
        <v>7.1828124999999989</v>
      </c>
      <c r="G19" s="106" t="e">
        <f>Seed_Chemical!#REF!</f>
        <v>#REF!</v>
      </c>
    </row>
    <row r="20" spans="1:7" ht="13.9" x14ac:dyDescent="0.4">
      <c r="A20" s="96" t="str">
        <f>Seed_Chemical!A32</f>
        <v>Centric</v>
      </c>
      <c r="B20" s="104" t="e">
        <f>Seed_Chemical!#REF!</f>
        <v>#REF!</v>
      </c>
      <c r="C20" s="104" t="str">
        <f>Seed_Chemical!C32</f>
        <v>oz</v>
      </c>
      <c r="D20" s="96">
        <f>Seed_Chemical!D32</f>
        <v>5.95</v>
      </c>
      <c r="E20" s="96">
        <f>Seed_Chemical!E32</f>
        <v>2</v>
      </c>
      <c r="F20" s="96">
        <f>Seed_Chemical!F32</f>
        <v>11.9</v>
      </c>
      <c r="G20" s="106" t="e">
        <f>Seed_Chemical!#REF!</f>
        <v>#REF!</v>
      </c>
    </row>
    <row r="21" spans="1:7" ht="13.9" x14ac:dyDescent="0.4">
      <c r="A21" s="96" t="str">
        <f>Seed_Chemical!A33</f>
        <v>Diamond</v>
      </c>
      <c r="B21" s="104" t="e">
        <f>Seed_Chemical!#REF!</f>
        <v>#REF!</v>
      </c>
      <c r="C21" s="104" t="str">
        <f>Seed_Chemical!C33</f>
        <v>oz</v>
      </c>
      <c r="D21" s="96">
        <f>Seed_Chemical!D33</f>
        <v>1.1971354166666666</v>
      </c>
      <c r="E21" s="96">
        <f>Seed_Chemical!E33</f>
        <v>6</v>
      </c>
      <c r="F21" s="96">
        <f>Seed_Chemical!F33</f>
        <v>7.1828124999999989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38.165624999999999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Nematicide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0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Growth Regulator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>Mepiquat</v>
      </c>
      <c r="B31" s="104" t="e">
        <f>Seed_Chemical!#REF!</f>
        <v>#REF!</v>
      </c>
      <c r="C31" s="104" t="str">
        <f>Seed_Chemical!C50</f>
        <v>oz</v>
      </c>
      <c r="D31" s="96">
        <f>Seed_Chemical!D50</f>
        <v>4.9796874999999997E-2</v>
      </c>
      <c r="E31" s="96">
        <f>Seed_Chemical!E50</f>
        <v>16</v>
      </c>
      <c r="F31" s="96">
        <f>Seed_Chemical!F50</f>
        <v>0.79674999999999996</v>
      </c>
      <c r="G31" s="106" t="e">
        <f>Seed_Chemical!#REF!</f>
        <v>#REF!</v>
      </c>
    </row>
    <row r="32" spans="1:7" ht="13.9" x14ac:dyDescent="0.4">
      <c r="A32" s="96" t="str">
        <f>Seed_Chemical!A51</f>
        <v>Mepiquat</v>
      </c>
      <c r="B32" s="104" t="e">
        <f>Seed_Chemical!#REF!</f>
        <v>#REF!</v>
      </c>
      <c r="C32" s="104" t="str">
        <f>Seed_Chemical!C51</f>
        <v>oz</v>
      </c>
      <c r="D32" s="96">
        <f>Seed_Chemical!D51</f>
        <v>4.9796874999999997E-2</v>
      </c>
      <c r="E32" s="96">
        <f>Seed_Chemical!E51</f>
        <v>20</v>
      </c>
      <c r="F32" s="96">
        <f>Seed_Chemical!F51</f>
        <v>0.99593749999999992</v>
      </c>
      <c r="G32" s="106" t="e">
        <f>Seed_Chemical!#REF!</f>
        <v>#REF!</v>
      </c>
    </row>
    <row r="33" spans="1:7" ht="13.9" x14ac:dyDescent="0.4">
      <c r="A33" s="96" t="str">
        <f>Seed_Chemical!A52</f>
        <v>Mepiquat</v>
      </c>
      <c r="B33" s="104" t="e">
        <f>Seed_Chemical!#REF!</f>
        <v>#REF!</v>
      </c>
      <c r="C33" s="104" t="str">
        <f>Seed_Chemical!C52</f>
        <v>oz</v>
      </c>
      <c r="D33" s="96">
        <f>Seed_Chemical!D52</f>
        <v>4.9796874999999997E-2</v>
      </c>
      <c r="E33" s="96">
        <f>Seed_Chemical!E52</f>
        <v>20</v>
      </c>
      <c r="F33" s="96">
        <f>Seed_Chemical!F52</f>
        <v>0.99593749999999992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3.7845624999999998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Defoliant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>Dropp</v>
      </c>
      <c r="B38" s="104" t="e">
        <f>Seed_Chemical!#REF!</f>
        <v>#REF!</v>
      </c>
      <c r="C38" s="104" t="str">
        <f>Seed_Chemical!C61</f>
        <v>oz</v>
      </c>
      <c r="D38" s="96">
        <f>Seed_Chemical!D61</f>
        <v>0.78125</v>
      </c>
      <c r="E38" s="96">
        <f>Seed_Chemical!E61</f>
        <v>2</v>
      </c>
      <c r="F38" s="96">
        <f>Seed_Chemical!F61</f>
        <v>1.5625</v>
      </c>
      <c r="G38" s="106" t="e">
        <f>Seed_Chemical!#REF!</f>
        <v>#REF!</v>
      </c>
    </row>
    <row r="39" spans="1:7" ht="13.9" x14ac:dyDescent="0.4">
      <c r="A39" s="96" t="str">
        <f>Seed_Chemical!A62</f>
        <v>Folex</v>
      </c>
      <c r="B39" s="104" t="e">
        <f>Seed_Chemical!#REF!</f>
        <v>#REF!</v>
      </c>
      <c r="C39" s="104" t="str">
        <f>Seed_Chemical!C62</f>
        <v>oz</v>
      </c>
      <c r="D39" s="96">
        <f>Seed_Chemical!D62</f>
        <v>0.5234375</v>
      </c>
      <c r="E39" s="96">
        <f>Seed_Chemical!E62</f>
        <v>6</v>
      </c>
      <c r="F39" s="96">
        <f>Seed_Chemical!F62</f>
        <v>3.140625</v>
      </c>
      <c r="G39" s="106" t="e">
        <f>Seed_Chemical!#REF!</f>
        <v>#REF!</v>
      </c>
    </row>
    <row r="40" spans="1:7" ht="13.9" x14ac:dyDescent="0.4">
      <c r="A40" s="96" t="str">
        <f>Seed_Chemical!A63</f>
        <v>Prep</v>
      </c>
      <c r="B40" s="104" t="e">
        <f>Seed_Chemical!#REF!</f>
        <v>#REF!</v>
      </c>
      <c r="C40" s="104" t="str">
        <f>Seed_Chemical!C63</f>
        <v>oz</v>
      </c>
      <c r="D40" s="96">
        <f>Seed_Chemical!D63</f>
        <v>0.28125</v>
      </c>
      <c r="E40" s="96">
        <f>Seed_Chemical!E63</f>
        <v>6</v>
      </c>
      <c r="F40" s="96">
        <f>Seed_Chemical!F63</f>
        <v>1.6875</v>
      </c>
      <c r="G40" s="106" t="e">
        <f>Seed_Chemical!#REF!</f>
        <v>#REF!</v>
      </c>
    </row>
    <row r="41" spans="1:7" ht="13.9" x14ac:dyDescent="0.4">
      <c r="A41" s="96" t="str">
        <f>Seed_Chemical!A64</f>
        <v>Folex</v>
      </c>
      <c r="B41" s="104" t="e">
        <f>Seed_Chemical!#REF!</f>
        <v>#REF!</v>
      </c>
      <c r="C41" s="104" t="str">
        <f>Seed_Chemical!C64</f>
        <v>oz</v>
      </c>
      <c r="D41" s="96">
        <f>Seed_Chemical!D64</f>
        <v>0.5234375</v>
      </c>
      <c r="E41" s="96">
        <f>Seed_Chemical!E64</f>
        <v>8</v>
      </c>
      <c r="F41" s="96">
        <f>Seed_Chemical!F64</f>
        <v>4.1875</v>
      </c>
      <c r="G41" s="106" t="e">
        <f>Seed_Chemical!#REF!</f>
        <v>#REF!</v>
      </c>
    </row>
    <row r="42" spans="1:7" ht="13.9" x14ac:dyDescent="0.4">
      <c r="A42" s="96" t="str">
        <f>Seed_Chemical!A65</f>
        <v>Prep</v>
      </c>
      <c r="B42" s="104" t="e">
        <f>Seed_Chemical!#REF!</f>
        <v>#REF!</v>
      </c>
      <c r="C42" s="104" t="str">
        <f>Seed_Chemical!C65</f>
        <v>oz</v>
      </c>
      <c r="D42" s="96">
        <f>Seed_Chemical!D65</f>
        <v>0.28125</v>
      </c>
      <c r="E42" s="96">
        <f>Seed_Chemical!E65</f>
        <v>32</v>
      </c>
      <c r="F42" s="96">
        <f>Seed_Chemical!F65</f>
        <v>9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19.578125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Print_Summary</vt:lpstr>
      <vt:lpstr>C1_Messages_Indicators</vt:lpstr>
      <vt:lpstr>C2_Irrigation_Calculations</vt:lpstr>
      <vt:lpstr>Print_Land_Capitalization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2025-10-29T02:03:37Z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