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508EC663-E2AA-47B4-9864-77CBF9ECA131}" xr6:coauthVersionLast="47" xr6:coauthVersionMax="47" xr10:uidLastSave="{5A5E052F-C768-4FA6-9CB2-BE15C6B733E0}"/>
  <bookViews>
    <workbookView xWindow="45885" yWindow="690" windowWidth="16170" windowHeight="13650" firstSheet="18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<sst xmlns="http://schemas.openxmlformats.org/spreadsheetml/2006/main" count="8711" uniqueCount="1245">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</sst>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1200</v>
      </c>
      <c r="Q2" s="1177">
        <f>P2</f>
        <v>1200</v>
      </c>
      <c r="R2" s="650">
        <v>220</v>
      </c>
      <c r="S2" s="1177">
        <f>IF(Irrigation!$B$2&lt;3,(Q2*$Q$36)+(R2*$R$36),A1_Link!Q2)</f>
        <v>742.14041265142475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1200</v>
      </c>
      <c r="D3" s="3"/>
      <c r="E3" s="1190"/>
      <c r="F3" s="4" t="s">
        <v>2</v>
      </c>
      <c r="G3" s="1272" t="str">
        <f>Budget!C3</f>
        <v>Lbs</v>
      </c>
      <c r="H3" s="3"/>
      <c r="I3" s="1190"/>
      <c r="J3" s="651" t="s">
        <v>492</v>
      </c>
      <c r="K3" s="1183">
        <f>C3</f>
        <v>1200</v>
      </c>
      <c r="L3" s="182"/>
      <c r="M3" s="1190"/>
      <c r="N3" s="3"/>
      <c r="O3" s="648" t="s">
        <v>21</v>
      </c>
      <c r="P3" s="1181">
        <f>Budget!E3</f>
        <v>0.69</v>
      </c>
      <c r="Q3" s="1177">
        <f>P3</f>
        <v>0.69</v>
      </c>
      <c r="R3" s="650">
        <v>4</v>
      </c>
      <c r="S3" s="1177">
        <f>IF(Irrigation!$B$2&lt;3,(Q3*$Q$36)+(R3*$R$36),A1_Link!Q3)</f>
        <v>2.2364441164528408</v>
      </c>
      <c r="T3" s="650"/>
      <c r="U3" s="1190"/>
      <c r="V3" s="3"/>
      <c r="W3" s="3"/>
      <c r="X3" s="648" t="s">
        <v>21</v>
      </c>
      <c r="Y3" s="650">
        <f>Budget!E3</f>
        <v>0.69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56.524999999999999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0.69</v>
      </c>
      <c r="D4" s="3"/>
      <c r="E4" s="1190"/>
      <c r="F4" s="4" t="s">
        <v>786</v>
      </c>
      <c r="G4" s="1189">
        <f>C3</f>
        <v>1200</v>
      </c>
      <c r="H4" s="3"/>
      <c r="I4" s="1190"/>
      <c r="J4" s="651" t="s">
        <v>493</v>
      </c>
      <c r="K4" s="1245">
        <f>C4</f>
        <v>0.69</v>
      </c>
      <c r="L4" s="182"/>
      <c r="M4" s="1190"/>
      <c r="N4" s="3"/>
      <c r="O4" s="648" t="s">
        <v>480</v>
      </c>
      <c r="P4" s="1181">
        <f>IF(A2_Budget_Look_Up!B7&gt;0,SUM(P28:P30)," ")</f>
        <v>179.82</v>
      </c>
      <c r="Q4" s="1177">
        <f>P4</f>
        <v>179.82</v>
      </c>
      <c r="R4" s="650">
        <v>0</v>
      </c>
      <c r="S4" s="1177">
        <f>IF(Irrigation!$B$2&lt;3,(IF(A2_Budget_Look_Up!B7&gt;0,Q4,0)*$Q$36)+(IF(A2_Budget_Look_Up!B7&gt;0,R4,0)*$R$36),A1_Link!Q4)</f>
        <v>95.807437758142044</v>
      </c>
      <c r="T4" s="650"/>
      <c r="U4" s="1190"/>
      <c r="V4" s="3"/>
      <c r="W4" s="3"/>
      <c r="X4" s="648" t="s">
        <v>15</v>
      </c>
      <c r="Y4" s="650">
        <f>Budget!D3</f>
        <v>1200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56.524999999999999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179.82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179.82</v>
      </c>
      <c r="D6" s="3"/>
      <c r="E6" s="1190"/>
      <c r="F6" s="1185" t="s">
        <v>21</v>
      </c>
      <c r="G6" s="1186">
        <f>C4</f>
        <v>0.69</v>
      </c>
      <c r="H6" s="3"/>
      <c r="I6" s="1190"/>
      <c r="J6" s="652" t="s">
        <v>231</v>
      </c>
      <c r="K6" s="173">
        <f>K3*K4*(K5)</f>
        <v>827.99999999999989</v>
      </c>
      <c r="L6" s="182"/>
      <c r="M6" s="1190"/>
      <c r="N6" s="3"/>
      <c r="O6" s="648" t="s">
        <v>481</v>
      </c>
      <c r="P6" s="1181">
        <f>Budget!F6</f>
        <v>113.05</v>
      </c>
      <c r="Q6" s="1177">
        <f t="shared" ref="Q6:Q26" si="0">P6</f>
        <v>113.05</v>
      </c>
      <c r="R6" s="650">
        <v>125.73</v>
      </c>
      <c r="S6" s="1177">
        <f>IF(Irrigation!$B$2&lt;3,(Q6*$Q$36)+(R6*$R$36),A1_Link!Q6)</f>
        <v>118.97414241589789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77.229166666666657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179.82</v>
      </c>
      <c r="L7" s="182"/>
      <c r="M7" s="1190"/>
      <c r="N7" s="3"/>
      <c r="O7" s="648" t="s">
        <v>304</v>
      </c>
      <c r="P7" s="1181">
        <f>Budget!F7</f>
        <v>77.229166666666657</v>
      </c>
      <c r="Q7" s="1177">
        <f t="shared" si="0"/>
        <v>77.229166666666657</v>
      </c>
      <c r="R7" s="650">
        <v>104.82639999999999</v>
      </c>
      <c r="S7" s="1177">
        <f>IF(Irrigation!$B$2&lt;3,(Q7*$Q$36)+(R7*$R$36),A1_Link!Q7)</f>
        <v>90.122695101322108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767.28946602081726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40.5</v>
      </c>
      <c r="AI7" s="3"/>
    </row>
    <row r="8" spans="2:35" ht="13.9" x14ac:dyDescent="0.4">
      <c r="B8" s="1185" t="s">
        <v>223</v>
      </c>
      <c r="C8" s="1186">
        <f>Budget!F6</f>
        <v>113.05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40.5</v>
      </c>
      <c r="Q8" s="1177">
        <f t="shared" si="0"/>
        <v>40.5</v>
      </c>
      <c r="R8" s="650">
        <v>30</v>
      </c>
      <c r="S8" s="1177">
        <f>IF(Irrigation!$B$2&lt;3,(Q8*$Q$36)+(R8*$R$36),A1_Link!Q8)</f>
        <v>35.594361564122408</v>
      </c>
      <c r="T8" s="650"/>
      <c r="U8" s="1190"/>
      <c r="V8" s="3"/>
      <c r="W8" s="3"/>
      <c r="X8" s="648" t="s">
        <v>1</v>
      </c>
      <c r="Y8" s="650">
        <f>Budget!F36</f>
        <v>28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165.09916666666666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695.82472956401182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10.517320790426488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25.37</v>
      </c>
      <c r="AI9" s="3"/>
    </row>
    <row r="10" spans="2:35" ht="13.9" x14ac:dyDescent="0.4">
      <c r="B10" s="1185" t="s">
        <v>494</v>
      </c>
      <c r="C10" s="1186">
        <f>SUM(Budget!F14:F18)</f>
        <v>205.32718749999998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28</v>
      </c>
      <c r="L10" s="182">
        <v>0</v>
      </c>
      <c r="M10" s="1190"/>
      <c r="N10" s="3"/>
      <c r="O10" s="648" t="s">
        <v>484</v>
      </c>
      <c r="P10" s="1181">
        <f>SUM(Budget!F10:F13)</f>
        <v>25.37</v>
      </c>
      <c r="Q10" s="1177">
        <f t="shared" si="0"/>
        <v>25.37</v>
      </c>
      <c r="R10" s="650">
        <v>22.159999999999997</v>
      </c>
      <c r="S10" s="1177">
        <f>IF(Irrigation!$B$2&lt;3,(Q10*$Q$36)+(R10*$R$36),A1_Link!Q10)</f>
        <v>23.870276249603137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1200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112.36137499999998</v>
      </c>
      <c r="AI10" s="3"/>
    </row>
    <row r="11" spans="2:35" ht="13.9" x14ac:dyDescent="0.4">
      <c r="B11" s="1185" t="s">
        <v>225</v>
      </c>
      <c r="C11" s="1186">
        <f>SUM(Budget!F20:F23)</f>
        <v>124.5</v>
      </c>
      <c r="D11" s="3"/>
      <c r="E11" s="1190"/>
      <c r="F11" s="1185" t="s">
        <v>223</v>
      </c>
      <c r="G11" s="1186">
        <f>C8</f>
        <v>113.05</v>
      </c>
      <c r="H11" s="3"/>
      <c r="I11" s="1190"/>
      <c r="J11" s="648" t="s">
        <v>789</v>
      </c>
      <c r="K11" s="665">
        <f>K30+SUM(K32:K35)</f>
        <v>90.496413451733758</v>
      </c>
      <c r="L11" s="182">
        <v>58.670258247720405</v>
      </c>
      <c r="M11" s="1190"/>
      <c r="N11" s="3"/>
      <c r="O11" s="648" t="s">
        <v>183</v>
      </c>
      <c r="P11" s="1181">
        <f>Budget!F14</f>
        <v>112.36137499999998</v>
      </c>
      <c r="Q11" s="1177">
        <f t="shared" si="0"/>
        <v>112.36137499999998</v>
      </c>
      <c r="R11" s="650">
        <v>23.8</v>
      </c>
      <c r="S11" s="1177">
        <f>IF(Irrigation!$B$2&lt;3,(Q11*$Q$36)+(R11*$R$36),A1_Link!Q11)</f>
        <v>70.985176415793433</v>
      </c>
      <c r="T11" s="650"/>
      <c r="U11" s="1190"/>
      <c r="V11" s="3"/>
      <c r="W11" s="3"/>
      <c r="X11" s="648" t="s">
        <v>811</v>
      </c>
      <c r="Y11" s="650">
        <f>Budget!F27</f>
        <v>8.5143562045017163</v>
      </c>
      <c r="Z11" s="650">
        <f>Budget!D$3</f>
        <v>1200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69.603125000000006</v>
      </c>
      <c r="AI11" s="3"/>
    </row>
    <row r="12" spans="2:35" ht="13.9" x14ac:dyDescent="0.4">
      <c r="B12" s="1185" t="s">
        <v>421</v>
      </c>
      <c r="C12" s="1186">
        <f>Budget!F31+Budget!F32</f>
        <v>35.85</v>
      </c>
      <c r="D12" s="3"/>
      <c r="E12" s="1190"/>
      <c r="F12" s="1185" t="s">
        <v>420</v>
      </c>
      <c r="G12" s="1186">
        <f t="shared" ref="G12:G21" si="2">C9</f>
        <v>165.09916666666666</v>
      </c>
      <c r="H12" s="3"/>
      <c r="I12" s="1190"/>
      <c r="J12" s="648" t="s">
        <v>790</v>
      </c>
      <c r="K12" s="664">
        <f>SUM(K36:K37)</f>
        <v>179.82</v>
      </c>
      <c r="L12" s="182">
        <v>105.03</v>
      </c>
      <c r="M12" s="1190"/>
      <c r="N12" s="3"/>
      <c r="O12" s="648" t="s">
        <v>184</v>
      </c>
      <c r="P12" s="1181">
        <f>Budget!F15</f>
        <v>69.603125000000006</v>
      </c>
      <c r="Q12" s="1177">
        <f t="shared" si="0"/>
        <v>69.603125000000006</v>
      </c>
      <c r="R12" s="650">
        <v>0</v>
      </c>
      <c r="S12" s="1177">
        <f>IF(Irrigation!$B$2&lt;3,(Q12*$Q$36)+(R12*$R$36),A1_Link!Q12)</f>
        <v>37.084290213600724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1200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23.3626875</v>
      </c>
      <c r="AI12" s="3"/>
    </row>
    <row r="13" spans="2:35" ht="13.9" x14ac:dyDescent="0.4">
      <c r="B13" s="1185" t="s">
        <v>779</v>
      </c>
      <c r="C13" s="1186">
        <f>Budget!F25+Budget!F27</f>
        <v>17.131385983811342</v>
      </c>
      <c r="D13" s="3"/>
      <c r="E13" s="1190"/>
      <c r="F13" s="1185" t="s">
        <v>494</v>
      </c>
      <c r="G13" s="1186">
        <f t="shared" si="2"/>
        <v>205.32718749999998</v>
      </c>
      <c r="H13" s="3"/>
      <c r="I13" s="1190"/>
      <c r="J13" s="652" t="s">
        <v>168</v>
      </c>
      <c r="K13" s="173">
        <f>SUM(K9:K12)-K7</f>
        <v>814.32114301574552</v>
      </c>
      <c r="L13" s="182"/>
      <c r="M13" s="1190"/>
      <c r="N13" s="3"/>
      <c r="O13" s="648" t="s">
        <v>91</v>
      </c>
      <c r="P13" s="1181">
        <f>SUM(Budget!F16:F18)</f>
        <v>23.3626875</v>
      </c>
      <c r="Q13" s="1177">
        <f t="shared" si="0"/>
        <v>23.3626875</v>
      </c>
      <c r="R13" s="650">
        <v>0</v>
      </c>
      <c r="S13" s="1177">
        <f>IF(Irrigation!$B$2&lt;3,(Q13*$Q$36)+(R13*$R$36),A1_Link!Q13)</f>
        <v>12.447554379486006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179.82</v>
      </c>
      <c r="Z13" s="650">
        <f>SUM(Y7:Y13)-Y5</f>
        <v>814.32114301574552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124.5</v>
      </c>
      <c r="AI13" s="3"/>
    </row>
    <row r="14" spans="2:35" ht="13.9" x14ac:dyDescent="0.4">
      <c r="B14" s="1185" t="s">
        <v>422</v>
      </c>
      <c r="C14" s="1186">
        <f>Budget!F29</f>
        <v>34.86698941353383</v>
      </c>
      <c r="D14" s="3"/>
      <c r="E14" s="1190"/>
      <c r="F14" s="1185" t="s">
        <v>225</v>
      </c>
      <c r="G14" s="1186">
        <f t="shared" si="2"/>
        <v>124.5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124.5</v>
      </c>
      <c r="Q14" s="1177">
        <f t="shared" si="0"/>
        <v>124.5</v>
      </c>
      <c r="R14" s="650">
        <v>7.0000000000000009</v>
      </c>
      <c r="S14" s="1177">
        <f>IF(Irrigation!$B$2&lt;3,(Q14*$Q$36)+(R14*$R$36),A1_Link!Q14)</f>
        <v>69.603569884226957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8.6170297793096253</v>
      </c>
      <c r="AI14" s="3"/>
    </row>
    <row r="15" spans="2:35" ht="13.9" x14ac:dyDescent="0.4">
      <c r="B15" s="1185" t="s">
        <v>778</v>
      </c>
      <c r="C15" s="1186">
        <f>Budget!F34+Budget!F35</f>
        <v>13</v>
      </c>
      <c r="D15" s="3"/>
      <c r="E15" s="1190"/>
      <c r="F15" s="1185" t="s">
        <v>780</v>
      </c>
      <c r="G15" s="1186">
        <f t="shared" si="2"/>
        <v>35.85</v>
      </c>
      <c r="H15" s="3"/>
      <c r="I15" s="1190"/>
      <c r="J15" s="652" t="s">
        <v>233</v>
      </c>
      <c r="K15" s="173">
        <f>(K3*K4*K5)-K13-K14</f>
        <v>13.678856984254367</v>
      </c>
      <c r="L15" s="182"/>
      <c r="M15" s="1190"/>
      <c r="N15" s="3"/>
      <c r="O15" s="648" t="s">
        <v>424</v>
      </c>
      <c r="P15" s="1181">
        <f>Budget!F25</f>
        <v>8.6170297793096253</v>
      </c>
      <c r="Q15" s="1177">
        <f t="shared" si="0"/>
        <v>8.6170297793096253</v>
      </c>
      <c r="R15" s="650">
        <v>10.547472063880164</v>
      </c>
      <c r="S15" s="1177">
        <f>IF(Irrigation!$B$2&lt;3,(Q15*$Q$36)+(R15*$R$36),A1_Link!Q15)</f>
        <v>9.5189394811603467</v>
      </c>
      <c r="T15" s="650"/>
      <c r="U15" s="1190"/>
      <c r="V15" s="3"/>
      <c r="W15" s="3"/>
      <c r="X15" s="648" t="s">
        <v>584</v>
      </c>
      <c r="Y15" s="650">
        <f>Budget!F48</f>
        <v>167.00534401546685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7.7400220950298984</v>
      </c>
      <c r="AI15" s="3"/>
    </row>
    <row r="16" spans="2:35" ht="13.9" x14ac:dyDescent="0.4">
      <c r="B16" s="1185" t="s">
        <v>1</v>
      </c>
      <c r="C16" s="1186">
        <f>Budget!F36</f>
        <v>28</v>
      </c>
      <c r="D16" s="3"/>
      <c r="E16" s="1190"/>
      <c r="F16" s="1185" t="s">
        <v>779</v>
      </c>
      <c r="G16" s="1186">
        <f t="shared" si="2"/>
        <v>17.131385983811342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7.7400220950298984</v>
      </c>
      <c r="Q16" s="1177">
        <f t="shared" si="0"/>
        <v>7.7400220950298984</v>
      </c>
      <c r="R16" s="650">
        <v>9.3388892486480266</v>
      </c>
      <c r="S16" s="1177">
        <f>IF(Irrigation!$B$2&lt;3,(Q16*$Q$36)+(R16*$R$36),A1_Link!Q16)</f>
        <v>8.4870186819490687</v>
      </c>
      <c r="T16" s="650"/>
      <c r="U16" s="1190"/>
      <c r="V16" s="3"/>
      <c r="W16" s="3"/>
      <c r="X16" s="648" t="s">
        <v>303</v>
      </c>
      <c r="Y16" s="650">
        <f>Budget!F49</f>
        <v>38.155984089812883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8.5143562045017163</v>
      </c>
      <c r="AI16" s="3"/>
    </row>
    <row r="17" spans="2:35" ht="13.9" x14ac:dyDescent="0.4">
      <c r="B17" s="1185" t="s">
        <v>226</v>
      </c>
      <c r="C17" s="1186">
        <f>Budget!F26+Budget!F28+Budget!F30</f>
        <v>34.378319648678698</v>
      </c>
      <c r="D17" s="3"/>
      <c r="E17" s="1190"/>
      <c r="F17" s="1185" t="s">
        <v>422</v>
      </c>
      <c r="G17" s="1186">
        <f t="shared" si="2"/>
        <v>34.86698941353383</v>
      </c>
      <c r="H17" s="3"/>
      <c r="I17" s="1190"/>
      <c r="J17" s="648" t="s">
        <v>249</v>
      </c>
      <c r="K17" s="978">
        <f>SUM(K40:K42)</f>
        <v>213.51159530605307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8.5143562045017163</v>
      </c>
      <c r="Q17" s="1177">
        <f t="shared" si="0"/>
        <v>8.5143562045017163</v>
      </c>
      <c r="R17" s="650">
        <v>7.4958759183673482</v>
      </c>
      <c r="S17" s="1177">
        <f>IF(Irrigation!$B$2&lt;3,(Q17*$Q$36)+(R17*$R$36),A1_Link!Q17)</f>
        <v>8.0385184866117765</v>
      </c>
      <c r="T17" s="650"/>
      <c r="U17" s="1190"/>
      <c r="V17" s="3"/>
      <c r="W17" s="3"/>
      <c r="X17" s="648" t="s">
        <v>585</v>
      </c>
      <c r="Y17" s="650">
        <f>Budget!F50</f>
        <v>8.3502672007733434</v>
      </c>
      <c r="Z17" s="650">
        <f>SUM(Y15:Y17)</f>
        <v>213.51159530605307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22.118922553648794</v>
      </c>
      <c r="AI17" s="3"/>
    </row>
    <row r="18" spans="2:35" ht="13.9" x14ac:dyDescent="0.4">
      <c r="B18" s="1185" t="s">
        <v>214</v>
      </c>
      <c r="C18" s="1186">
        <f>Trips!E45+Trips!E51+Trips!E72+Trips!E76</f>
        <v>10.517320790426488</v>
      </c>
      <c r="D18" s="3"/>
      <c r="E18" s="1190"/>
      <c r="F18" s="1185" t="s">
        <v>778</v>
      </c>
      <c r="G18" s="1186">
        <f t="shared" si="2"/>
        <v>13</v>
      </c>
      <c r="H18" s="3"/>
      <c r="I18" s="1190"/>
      <c r="J18" s="308" t="s">
        <v>650</v>
      </c>
      <c r="K18" s="173">
        <f>K13+K17</f>
        <v>1027.8327383217986</v>
      </c>
      <c r="L18" s="182"/>
      <c r="M18" s="1190"/>
      <c r="N18" s="3"/>
      <c r="O18" s="648" t="s">
        <v>17</v>
      </c>
      <c r="P18" s="1181">
        <f>(Budget!F28/Budget!D3)*P2</f>
        <v>22.118922553648794</v>
      </c>
      <c r="Q18" s="1177">
        <f t="shared" si="0"/>
        <v>22.118922553648794</v>
      </c>
      <c r="R18" s="650">
        <v>12.958564105965449</v>
      </c>
      <c r="S18" s="1177">
        <f>IF(Irrigation!$B$2&lt;3,(Q18*$Q$36)+(R18*$R$36),A1_Link!Q18)</f>
        <v>17.839169554851516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34.86698941353383</v>
      </c>
      <c r="AI18" s="3"/>
    </row>
    <row r="19" spans="2:35" ht="13.9" x14ac:dyDescent="0.4">
      <c r="B19" s="1185" t="s">
        <v>28</v>
      </c>
      <c r="C19" s="1186">
        <f>Budget!F37</f>
        <v>32.600773012628572</v>
      </c>
      <c r="D19" s="3"/>
      <c r="E19" s="1190"/>
      <c r="F19" s="1185" t="s">
        <v>1</v>
      </c>
      <c r="G19" s="1186">
        <f t="shared" si="2"/>
        <v>28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34.86698941353383</v>
      </c>
      <c r="Q19" s="1177">
        <f t="shared" si="0"/>
        <v>34.86698941353383</v>
      </c>
      <c r="R19" s="650">
        <v>27.046874608695653</v>
      </c>
      <c r="S19" s="1177">
        <f>IF(Irrigation!$B$2&lt;3,(Q19*$Q$36)+(R19*$R$36),A1_Link!Q19)</f>
        <v>31.213403150715777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4.5193750000000001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34.378319648678698</v>
      </c>
      <c r="H20" s="3"/>
      <c r="I20" s="1190"/>
      <c r="J20" s="308" t="s">
        <v>761</v>
      </c>
      <c r="K20" s="173">
        <f>(K3*K4*K5)-K14-K18</f>
        <v>-199.83273832179873</v>
      </c>
      <c r="L20" s="182"/>
      <c r="M20" s="1190"/>
      <c r="N20" s="3"/>
      <c r="O20" s="648" t="s">
        <v>295</v>
      </c>
      <c r="P20" s="1181">
        <f>Budget!F30</f>
        <v>4.5193750000000001</v>
      </c>
      <c r="Q20" s="1177">
        <f t="shared" si="0"/>
        <v>4.5193750000000001</v>
      </c>
      <c r="R20" s="650">
        <v>1.6916666666666667</v>
      </c>
      <c r="S20" s="1177">
        <f>IF(Irrigation!$B$2&lt;3,(Q20*$Q$36)+(R20*$R$36),A1_Link!Q20)</f>
        <v>3.1982593156712986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16.25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168</v>
      </c>
      <c r="D21" s="3"/>
      <c r="E21" s="1190"/>
      <c r="F21" s="1185" t="s">
        <v>214</v>
      </c>
      <c r="G21" s="1186">
        <f t="shared" si="2"/>
        <v>10.517320790426488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16.25</v>
      </c>
      <c r="Q21" s="1177">
        <f t="shared" si="0"/>
        <v>16.25</v>
      </c>
      <c r="R21" s="650">
        <v>3.45</v>
      </c>
      <c r="S21" s="1177">
        <f>IF(Irrigation!$B$2&lt;3,(Q21*$Q$36)+(R21*$R$36),A1_Link!Q21)</f>
        <v>10.269793144834937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11.819999999999999</v>
      </c>
      <c r="D22" s="3"/>
      <c r="E22" s="1190"/>
      <c r="F22" s="1185" t="s">
        <v>784</v>
      </c>
      <c r="G22" s="1186">
        <f>SUM(G11:G21)*(0.0475/2)</f>
        <v>18.56585878757403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19.600000000000001</v>
      </c>
      <c r="Q22" s="1177">
        <f t="shared" si="0"/>
        <v>19.600000000000001</v>
      </c>
      <c r="R22" s="650">
        <v>0</v>
      </c>
      <c r="S22" s="1177">
        <f>IF(Irrigation!$B$2&lt;3,(Q22*$Q$36)+(R22*$R$36),A1_Link!Q22)</f>
        <v>10.442808253028497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19.600000000000001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113.05</v>
      </c>
      <c r="L23" s="1251">
        <v>1</v>
      </c>
      <c r="M23" s="1190"/>
      <c r="N23" s="3"/>
      <c r="O23" s="648" t="s">
        <v>214</v>
      </c>
      <c r="P23" s="1181">
        <f>Budget!F33</f>
        <v>19.11872079042649</v>
      </c>
      <c r="Q23" s="1177">
        <f t="shared" si="0"/>
        <v>19.11872079042649</v>
      </c>
      <c r="R23" s="650">
        <v>11.817977438585899</v>
      </c>
      <c r="S23" s="1177">
        <f>IF(Irrigation!$B$2&lt;3,(Q23*$Q$36)+(R23*$R$36),A1_Link!Q23)</f>
        <v>15.707786771639157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19.11872079042649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179.82</v>
      </c>
      <c r="H24" s="3"/>
      <c r="I24" s="1190"/>
      <c r="J24" s="1185" t="s">
        <v>224</v>
      </c>
      <c r="K24" s="1249">
        <f t="shared" ref="K24:K38" si="3">C9*L24</f>
        <v>165.09916666666666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5.3279633944022944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167.00534401546685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205.32718749999998</v>
      </c>
      <c r="L25" s="1251">
        <v>1</v>
      </c>
      <c r="M25" s="1190"/>
      <c r="N25" s="3"/>
      <c r="O25" s="648" t="s">
        <v>487</v>
      </c>
      <c r="P25" s="1181">
        <f>Budget!F35</f>
        <v>3</v>
      </c>
      <c r="Q25" s="1177">
        <f t="shared" si="0"/>
        <v>3</v>
      </c>
      <c r="R25" s="650">
        <v>0</v>
      </c>
      <c r="S25" s="1177">
        <f>IF(Irrigation!$B$2&lt;3,(Q25*$Q$36)+(R25*$R$36),A1_Link!Q25)</f>
        <v>1.5983890183206881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3</v>
      </c>
      <c r="AI25" s="3"/>
    </row>
    <row r="26" spans="2:35" ht="13.9" x14ac:dyDescent="0.4">
      <c r="B26" s="648" t="s">
        <v>303</v>
      </c>
      <c r="C26" s="665">
        <f>Budget!F49</f>
        <v>38.155984089812883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124.5</v>
      </c>
      <c r="L26" s="1251">
        <v>1</v>
      </c>
      <c r="M26" s="1190"/>
      <c r="N26" s="3"/>
      <c r="O26" s="648" t="s">
        <v>1</v>
      </c>
      <c r="P26" s="1181">
        <f>Budget!F36</f>
        <v>28</v>
      </c>
      <c r="Q26" s="1177">
        <f t="shared" si="0"/>
        <v>28</v>
      </c>
      <c r="R26" s="650">
        <v>0</v>
      </c>
      <c r="S26" s="1177">
        <f>IF(Irrigation!$B$2&lt;3,(Q26*$Q$36)+(R26*$R$36),A1_Link!Q26)</f>
        <v>14.918297504326423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32.600773012628572</v>
      </c>
      <c r="AI26" s="650">
        <f>SUM(AH3:AH26)</f>
        <v>794.92254301574542</v>
      </c>
    </row>
    <row r="27" spans="2:35" ht="13.9" x14ac:dyDescent="0.4">
      <c r="B27" s="648" t="s">
        <v>585</v>
      </c>
      <c r="C27" s="664">
        <f>Budget!F50</f>
        <v>8.3502672007733434</v>
      </c>
      <c r="D27" s="3"/>
      <c r="E27" s="1190"/>
      <c r="F27" s="648" t="s">
        <v>997</v>
      </c>
      <c r="G27" s="1186">
        <f>C25+C26</f>
        <v>205.16132810527972</v>
      </c>
      <c r="H27" s="3"/>
      <c r="I27" s="1190"/>
      <c r="J27" s="1185" t="s">
        <v>421</v>
      </c>
      <c r="K27" s="1249">
        <f t="shared" si="3"/>
        <v>35.85</v>
      </c>
      <c r="L27" s="1251">
        <v>1</v>
      </c>
      <c r="M27" s="1190"/>
      <c r="N27" s="173"/>
      <c r="O27" s="648" t="s">
        <v>263</v>
      </c>
      <c r="P27" s="1181">
        <f>SUM(P6:P26)*((Budget!D37/100)/2)</f>
        <v>32.600773012628572</v>
      </c>
      <c r="Q27" s="1177">
        <f>P27</f>
        <v>32.600773012628572</v>
      </c>
      <c r="R27" s="650">
        <v>10.240138351206717</v>
      </c>
      <c r="S27" s="1177">
        <f>IF(Irrigation!$B$2&lt;3,(Q27*$Q$36)+(R27*$R$36),A1_Link!Q27)</f>
        <v>22.153802646372593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120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8.3502672007733434</v>
      </c>
      <c r="H28" s="3"/>
      <c r="I28" s="1190"/>
      <c r="J28" s="1185" t="s">
        <v>779</v>
      </c>
      <c r="K28" s="1249">
        <f t="shared" si="3"/>
        <v>17.131385983811342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120</v>
      </c>
      <c r="Q28" s="1177">
        <f>P28</f>
        <v>120</v>
      </c>
      <c r="R28" s="650">
        <v>41.8</v>
      </c>
      <c r="S28" s="1177">
        <f>IF(Irrigation!$B$2&lt;3,(Q28*$Q$36)+(R28*$R$36),A1_Link!Q28)</f>
        <v>83.464673744225934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48</v>
      </c>
      <c r="AI28" s="3"/>
    </row>
    <row r="29" spans="2:35" ht="13.9" x14ac:dyDescent="0.4">
      <c r="B29" s="652" t="s">
        <v>777</v>
      </c>
      <c r="C29" s="173">
        <f>SUM(C8:C14)</f>
        <v>695.82472956401182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34.86698941353383</v>
      </c>
      <c r="L29" s="1251">
        <v>1</v>
      </c>
      <c r="M29" s="1190"/>
      <c r="N29" s="3"/>
      <c r="O29" s="648" t="s">
        <v>489</v>
      </c>
      <c r="P29" s="1181">
        <f>Budget!F41</f>
        <v>48</v>
      </c>
      <c r="Q29" s="1177">
        <f>P29</f>
        <v>48</v>
      </c>
      <c r="R29" s="650">
        <v>55</v>
      </c>
      <c r="S29" s="1177">
        <f>IF(Irrigation!$B$2&lt;3,(Q29*$Q$36)+(R29*$R$36),A1_Link!Q29)</f>
        <v>51.270425623918392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11.819999999999999</v>
      </c>
      <c r="AI29" s="3"/>
    </row>
    <row r="30" spans="2:35" ht="13.9" x14ac:dyDescent="0.4">
      <c r="B30" s="652" t="s">
        <v>640</v>
      </c>
      <c r="C30" s="173">
        <f>SUM(C8:C18)</f>
        <v>781.72037000311707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13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11.819999999999999</v>
      </c>
      <c r="Q30" s="1177">
        <f>P30</f>
        <v>11.819999999999999</v>
      </c>
      <c r="R30" s="650">
        <v>2.2000000000000002</v>
      </c>
      <c r="S30" s="1177">
        <f>IF(Irrigation!$B$2&lt;3,(Q30*$Q$36)+(R30*$R$36),A1_Link!Q30)</f>
        <v>7.3255007854150058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814.32114301574575</v>
      </c>
      <c r="D31" s="3"/>
      <c r="E31" s="1190"/>
      <c r="F31" s="1308">
        <f>SUM(C8:C22)</f>
        <v>994.14114301574568</v>
      </c>
      <c r="G31" s="3"/>
      <c r="H31" s="3"/>
      <c r="I31" s="1190"/>
      <c r="J31" s="1185" t="s">
        <v>1</v>
      </c>
      <c r="K31" s="1249">
        <f t="shared" si="3"/>
        <v>28</v>
      </c>
      <c r="L31" s="1251">
        <v>1</v>
      </c>
      <c r="M31" s="1190"/>
      <c r="N31" s="534"/>
      <c r="O31" s="1309">
        <f>P31+IF(A2_Budget_Look_Up!B7&gt;0,P4,0)</f>
        <v>1002.7425430157455</v>
      </c>
      <c r="P31" s="1178">
        <f>SUM(P6:P30)-IF(A2_Budget_Look_Up!B7&gt;0,P4,0)</f>
        <v>822.92254301574553</v>
      </c>
      <c r="Q31" s="1178">
        <f>SUM(Q6:Q30)-IF(A2_Budget_Look_Up!B7&gt;0,Q4,0)</f>
        <v>822.92254301574553</v>
      </c>
      <c r="R31" s="1178">
        <f>SUM(R6:R30)-IF(A2_Budget_Look_Up!B7&gt;0,R4,0)</f>
        <v>540.40385840201589</v>
      </c>
      <c r="S31" s="1179">
        <f>SUM(S6:S30)-IF(A2_Budget_Look_Up!B7&gt;0,S4,0)</f>
        <v>690.9287793876797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167.00534401546685</v>
      </c>
      <c r="AI31" s="3"/>
    </row>
    <row r="32" spans="2:35" ht="13.9" x14ac:dyDescent="0.4">
      <c r="B32" s="173" t="s">
        <v>249</v>
      </c>
      <c r="C32" s="173">
        <f>SUM(C25:C27)</f>
        <v>213.51159530605307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34.378319648678698</v>
      </c>
      <c r="L32" s="1251">
        <v>1</v>
      </c>
      <c r="M32" s="1190"/>
      <c r="N32" s="183"/>
      <c r="O32" s="648" t="s">
        <v>123</v>
      </c>
      <c r="P32" s="1181">
        <f>Budget!F48</f>
        <v>167.00534401546685</v>
      </c>
      <c r="Q32" s="1177">
        <f>P32</f>
        <v>167.00534401546685</v>
      </c>
      <c r="R32" s="650">
        <v>62.654368717931924</v>
      </c>
      <c r="S32" s="1177">
        <f>IF(Irrigation!$B$2&lt;3,(Q32*$Q$36)+(R32*$R$36),A1_Link!Q32)</f>
        <v>118.25218637347633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38.155984089812883</v>
      </c>
      <c r="AI32" s="3"/>
    </row>
    <row r="33" spans="2:35" ht="13.9" x14ac:dyDescent="0.4">
      <c r="B33" s="308" t="s">
        <v>650</v>
      </c>
      <c r="C33" s="173">
        <f>C31+C32</f>
        <v>1027.8327383217988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10.517320790426488</v>
      </c>
      <c r="L33" s="1251">
        <v>1</v>
      </c>
      <c r="M33" s="1190"/>
      <c r="N33" s="182"/>
      <c r="O33" s="648" t="s">
        <v>303</v>
      </c>
      <c r="P33" s="1181">
        <f>Budget!F49</f>
        <v>38.155984089812883</v>
      </c>
      <c r="Q33" s="1177">
        <f>P33</f>
        <v>38.155984089812883</v>
      </c>
      <c r="R33" s="650">
        <v>11.440610711903465</v>
      </c>
      <c r="S33" s="1177">
        <f>IF(Irrigation!$B$2&lt;3,(Q33*$Q$36)+(R33*$R$36),A1_Link!Q33)</f>
        <v>25.67446385443256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8.3502672007733434</v>
      </c>
      <c r="AI33" s="3"/>
    </row>
    <row r="34" spans="2:35" ht="13.9" x14ac:dyDescent="0.4">
      <c r="B34" s="308" t="s">
        <v>761</v>
      </c>
      <c r="C34" s="173">
        <f>(C3*C4*C5)-C23-C33</f>
        <v>-199.83273832179896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32.600773012628572</v>
      </c>
      <c r="L34" s="1251">
        <v>1</v>
      </c>
      <c r="M34" s="1190"/>
      <c r="N34" s="182"/>
      <c r="O34" s="648" t="s">
        <v>491</v>
      </c>
      <c r="P34" s="1181">
        <f>Budget!F50</f>
        <v>8.3502672007733434</v>
      </c>
      <c r="Q34" s="1177">
        <f>P34</f>
        <v>8.3502672007733434</v>
      </c>
      <c r="R34" s="650">
        <v>7.4094979429835393</v>
      </c>
      <c r="S34" s="1177">
        <f>IF(Irrigation!$B$2&lt;3,(Q34*$Q$36)+(R34*$R$36),A1_Link!Q34)</f>
        <v>7.9107363597918487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213.51159530605307</v>
      </c>
      <c r="Q35" s="1178">
        <f>SUM(Q32:Q34)</f>
        <v>213.51159530605307</v>
      </c>
      <c r="R35" s="1178">
        <f>SUM(R32:R34)</f>
        <v>81.504477372818926</v>
      </c>
      <c r="S35" s="1179">
        <f>SUM(S32:S34)</f>
        <v>151.83738658770076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168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-180.43413832179871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11.819999999999999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167.00534401546685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38.155984089812883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8.3502672007733434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31. Machinery Capital Recovery and Operating Costs, B3XF Cotton, Furrow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>
        <f>IF(Trips!G19&gt;0,Trips!G19," ")</f>
        <v>4.9857054040011874</v>
      </c>
      <c r="C20" s="96">
        <f>IF(Trips!H19&gt;0,Trips!H19," ")</f>
        <v>0.45171120485025068</v>
      </c>
      <c r="D20" s="96">
        <f>IF(Trips!I19&gt;0,Trips!I19," ")</f>
        <v>0.96515695488721776</v>
      </c>
      <c r="E20" s="96">
        <f>IF(Trips!J19&gt;0,Trips!J19," ")</f>
        <v>0.59793890977443598</v>
      </c>
      <c r="F20" s="96">
        <f>IF(Trips!K19&gt;0,Trips!K19," ")</f>
        <v>7.0005124735130924</v>
      </c>
      <c r="G20" s="528">
        <f>IF(Machine!B29&gt;0,Machine!B29," ")</f>
        <v>1</v>
      </c>
      <c r="H20" s="97">
        <f>IF(Machine!B29&gt;0,Machine!D29," ")</f>
        <v>38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>
        <f>IF(Trips!G31&gt;0,Trips!G31," ")</f>
        <v>4.7865266981306949</v>
      </c>
      <c r="C32" s="96">
        <f>IF(Trips!H31&gt;0,Trips!H31," ")</f>
        <v>0.2409194160502762</v>
      </c>
      <c r="D32" s="96">
        <f>IF(Trips!I31&gt;0,Trips!I31," ")</f>
        <v>0.94578731745646449</v>
      </c>
      <c r="E32" s="96">
        <f>IF(Trips!J31&gt;0,Trips!J31," ")</f>
        <v>2.3102735119725284</v>
      </c>
      <c r="F32" s="96">
        <f>IF(Trips!K31&gt;0,Trips!K31," ")</f>
        <v>8.2835069436099644</v>
      </c>
      <c r="G32" s="528">
        <f>IF(Machine!B41&gt;0,Machine!B41," ")</f>
        <v>1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>
        <f>IF(Trips!G41&gt;0,Trips!G41," ")</f>
        <v>7.7996888795106489</v>
      </c>
      <c r="C42" s="96">
        <f>IF(Trips!H41&gt;0,Trips!H41," ")</f>
        <v>1.7917084821428573</v>
      </c>
      <c r="D42" s="96">
        <f>IF(Trips!I41&gt;0,Trips!I41," ")</f>
        <v>1.5547419642857141</v>
      </c>
      <c r="E42" s="96">
        <f>IF(Trips!J41&gt;0,Trips!J41," ")</f>
        <v>1.2016272321428572</v>
      </c>
      <c r="F42" s="96">
        <f>IF(Trips!K41&gt;0,Trips!K41," ")</f>
        <v>12.347766558082078</v>
      </c>
      <c r="G42" s="528">
        <f>IF(Machine!B51&gt;0,Machine!B51," ")</f>
        <v>1</v>
      </c>
      <c r="H42" s="97">
        <f>IF(Machine!B51&gt;0,Machine!D51," ")</f>
        <v>20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>
        <f>IF(Trips!G57&gt;0,Trips!G57," ")</f>
        <v>116.50276396791389</v>
      </c>
      <c r="C58" s="96">
        <f>IF(Trips!H57&gt;0,Trips!H57," ")</f>
        <v>22.071246037002044</v>
      </c>
      <c r="D58" s="96">
        <f>IF(Trips!I57&gt;0,Trips!I57," ")</f>
        <v>8.3686519956489001</v>
      </c>
      <c r="E58" s="96">
        <f>IF(Trips!J57&gt;0,Trips!J57," ")</f>
        <v>2.2727089783281738</v>
      </c>
      <c r="F58" s="96">
        <f>IF(Trips!K57&gt;0,Trips!K57," ")</f>
        <v>149.21537097889302</v>
      </c>
      <c r="G58" s="528">
        <f>IF(Machine!B67&gt;0,Machine!B67," ")</f>
        <v>1</v>
      </c>
      <c r="H58" s="97">
        <f>IF(Machine!B67&gt;0,Machine!D67," ")</f>
        <v>19</v>
      </c>
    </row>
    <row r="59" spans="1:8" ht="13.9" x14ac:dyDescent="0.4">
      <c r="A59" s="91" t="str">
        <f>Machine!A68</f>
        <v>Module Handler with Tractor</v>
      </c>
      <c r="B59" s="96">
        <f>IF(Trips!G58&gt;0,Trips!G58," ")</f>
        <v>2.0662526567642967</v>
      </c>
      <c r="C59" s="96">
        <f>IF(Trips!H58&gt;0,Trips!H58," ")</f>
        <v>4.7676516646750648E-2</v>
      </c>
      <c r="D59" s="96">
        <f>IF(Trips!I58&gt;0,Trips!I58," ")</f>
        <v>0.14570420885281568</v>
      </c>
      <c r="E59" s="96">
        <f>IF(Trips!J58&gt;0,Trips!J58," ")</f>
        <v>0.11363544891640869</v>
      </c>
      <c r="F59" s="96">
        <f>IF(Trips!K58&gt;0,Trips!K58," ")</f>
        <v>2.3732688311802721</v>
      </c>
      <c r="G59" s="528">
        <f>IF(Machine!B68&gt;0,Machine!B68," ")</f>
        <v>1</v>
      </c>
      <c r="H59" s="118" t="str">
        <f>IF(Machine!B68&gt;0,"NA"," ")</f>
        <v>NA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31. Machinery Capital Recovery and Operating Costs, B3XF Cotton, Furrow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>
        <f>IF(Trips!G31&gt;0,Trips!G31," ")</f>
        <v>4.7865266981306949</v>
      </c>
      <c r="C12" s="96">
        <f>IF(Trips!H31&gt;0,Trips!H31," ")</f>
        <v>0.2409194160502762</v>
      </c>
      <c r="D12" s="96">
        <f>IF(Trips!I31&gt;0,Trips!I31," ")</f>
        <v>0.94578731745646449</v>
      </c>
      <c r="E12" s="96">
        <f>IF(Trips!J31&gt;0,Trips!J31," ")</f>
        <v>2.3102735119725284</v>
      </c>
      <c r="F12" s="96">
        <f>IF(Trips!K31&gt;0,Trips!K31," ")</f>
        <v>8.2835069436099644</v>
      </c>
      <c r="G12" s="528">
        <f>IF(Machine!B41&gt;0,Machine!B41," ")</f>
        <v>1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>
        <f>IF(Trips!G41&gt;0,Trips!G41," ")</f>
        <v>7.7996888795106489</v>
      </c>
      <c r="C14" s="96">
        <f>IF(Trips!H41&gt;0,Trips!H41," ")</f>
        <v>1.7917084821428573</v>
      </c>
      <c r="D14" s="96">
        <f>IF(Trips!I41&gt;0,Trips!I41," ")</f>
        <v>1.5547419642857141</v>
      </c>
      <c r="E14" s="96">
        <f>IF(Trips!J41&gt;0,Trips!J41," ")</f>
        <v>1.2016272321428572</v>
      </c>
      <c r="F14" s="96">
        <f>IF(Trips!K41&gt;0,Trips!K41," ")</f>
        <v>12.347766558082078</v>
      </c>
      <c r="G14" s="528">
        <f>IF(Machine!B51&gt;0,Machine!B51," ")</f>
        <v>1</v>
      </c>
      <c r="H14" s="97">
        <f>IF(Machine!B51&gt;0,Machine!D51," ")</f>
        <v>20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1</v>
      </c>
      <c r="T29" s="89">
        <f>J29*O29*S29</f>
        <v>1.4050457179544311</v>
      </c>
      <c r="U29" s="89">
        <f t="shared" si="6"/>
        <v>75.989555598878766</v>
      </c>
      <c r="V29" s="89">
        <f>U29*O29*S29</f>
        <v>2.9460236545617939</v>
      </c>
      <c r="W29" s="1144">
        <f t="shared" si="7"/>
        <v>0.2173411066729323</v>
      </c>
      <c r="X29" s="1144">
        <f t="shared" si="2"/>
        <v>0.2173411066729323</v>
      </c>
      <c r="Y29" s="1144">
        <f t="shared" si="2"/>
        <v>0.19995381813909768</v>
      </c>
      <c r="Z29" s="1136">
        <f t="shared" si="8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0.18324814094047631</v>
      </c>
      <c r="AD29" s="84">
        <f>IF(Q29=4,0.003,0.007)</f>
        <v>3.0000000000000001E-3</v>
      </c>
      <c r="AE29" s="229">
        <v>2</v>
      </c>
      <c r="AF29" s="89">
        <f t="shared" si="9"/>
        <v>0.26846306390977437</v>
      </c>
      <c r="AG29" s="229">
        <f>0.044*R29</f>
        <v>10.119999999999999</v>
      </c>
      <c r="AH29" s="89">
        <f>AG29*O29*$AI$11*S29</f>
        <v>0.96515695488721776</v>
      </c>
      <c r="AI29" s="89">
        <f>AH29*0.1</f>
        <v>9.6515695488721784E-2</v>
      </c>
      <c r="AJ29" s="89">
        <f t="shared" si="10"/>
        <v>0.96515695488721776</v>
      </c>
      <c r="AK29" s="227">
        <f>EquipmentSpecs!L29</f>
        <v>1.04</v>
      </c>
      <c r="AL29" s="226">
        <f>O29*S29*AK29</f>
        <v>4.0319548872180443E-2</v>
      </c>
      <c r="AM29" s="230">
        <f>AL29*$AL$11</f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1</v>
      </c>
      <c r="T41" s="89">
        <f t="shared" si="14"/>
        <v>2.3361126018156182</v>
      </c>
      <c r="U41" s="89">
        <f t="shared" si="6"/>
        <v>36.514461781279415</v>
      </c>
      <c r="V41" s="89">
        <f t="shared" si="15"/>
        <v>1.8231926331159782</v>
      </c>
      <c r="W41" s="1144">
        <f t="shared" si="7"/>
        <v>0.21480187095859524</v>
      </c>
      <c r="X41" s="1144">
        <f t="shared" si="7"/>
        <v>0.21480187095859524</v>
      </c>
      <c r="Y41" s="1144">
        <f t="shared" si="7"/>
        <v>0.19761772128190763</v>
      </c>
      <c r="Z41" s="1136">
        <f t="shared" si="8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16"/>
        <v>3.9928376683300543E-2</v>
      </c>
      <c r="AD41" s="84">
        <f t="shared" si="17"/>
        <v>3.0000000000000001E-3</v>
      </c>
      <c r="AE41" s="229">
        <v>2</v>
      </c>
      <c r="AF41" s="89">
        <f t="shared" si="9"/>
        <v>0.20099103936697565</v>
      </c>
      <c r="AG41" s="229">
        <f t="shared" si="18"/>
        <v>7.6999999999999993</v>
      </c>
      <c r="AH41" s="89">
        <f t="shared" si="19"/>
        <v>0.94578731745646449</v>
      </c>
      <c r="AI41" s="89">
        <f t="shared" si="20"/>
        <v>9.457873174564646E-2</v>
      </c>
      <c r="AJ41" s="89">
        <f t="shared" si="10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22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1</v>
      </c>
      <c r="T51" s="89">
        <f t="shared" si="14"/>
        <v>2.3110583646775966</v>
      </c>
      <c r="U51" s="89">
        <f t="shared" si="24"/>
        <v>61.186395417279016</v>
      </c>
      <c r="V51" s="89">
        <f t="shared" si="15"/>
        <v>4.5070335910049275</v>
      </c>
      <c r="W51" s="1144">
        <f t="shared" si="7"/>
        <v>0.33616333007812499</v>
      </c>
      <c r="X51" s="1144">
        <f t="shared" si="7"/>
        <v>0.33616333007812499</v>
      </c>
      <c r="Y51" s="1144">
        <f t="shared" si="7"/>
        <v>0.30927026367187505</v>
      </c>
      <c r="Z51" s="1136">
        <f t="shared" si="8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16"/>
        <v>1.3731771428571431</v>
      </c>
      <c r="AD51" s="84">
        <f t="shared" si="17"/>
        <v>3.0000000000000001E-3</v>
      </c>
      <c r="AE51" s="229">
        <v>2</v>
      </c>
      <c r="AF51" s="89">
        <f t="shared" si="9"/>
        <v>0.41853133928571423</v>
      </c>
      <c r="AG51" s="229">
        <f t="shared" si="18"/>
        <v>8.58</v>
      </c>
      <c r="AH51" s="89">
        <f t="shared" si="19"/>
        <v>1.5547419642857141</v>
      </c>
      <c r="AI51" s="89">
        <f t="shared" si="20"/>
        <v>0.15547419642857141</v>
      </c>
      <c r="AJ51" s="89">
        <f t="shared" si="10"/>
        <v>1.5547419642857141</v>
      </c>
      <c r="AK51" s="227">
        <f>EquipmentSpecs!L51</f>
        <v>1.1000000000000001</v>
      </c>
      <c r="AL51" s="226">
        <f t="shared" si="21"/>
        <v>8.1026785714285718E-2</v>
      </c>
      <c r="AM51" s="230">
        <f t="shared" si="22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17.388190943893996</v>
      </c>
      <c r="U56" s="17"/>
      <c r="V56" s="257">
        <f>SUM(V14:V54)</f>
        <v>24.809739381026866</v>
      </c>
      <c r="W56" s="1147"/>
      <c r="X56" s="1147">
        <f>Z56-(T56+V56)</f>
        <v>6.2383970658678081</v>
      </c>
      <c r="Y56" s="1148">
        <f>(Z56-(T56+V56))/(T56+V56)</f>
        <v>0.14783656491758301</v>
      </c>
      <c r="Z56" s="257">
        <f>SUM(Z14:Z54)</f>
        <v>48.436327390788669</v>
      </c>
      <c r="AA56" s="17"/>
      <c r="AB56" s="17"/>
      <c r="AC56" s="257">
        <f>SUM(AC14:AC54)</f>
        <v>5.4302759585947431</v>
      </c>
      <c r="AD56" s="258"/>
      <c r="AE56" s="17"/>
      <c r="AF56" s="257">
        <f>SUM(AF14:AF54)</f>
        <v>2.3097461364351553</v>
      </c>
      <c r="AG56" s="17"/>
      <c r="AH56" s="257">
        <f>SUM(AH14:AH54)</f>
        <v>8.6170297793096253</v>
      </c>
      <c r="AI56" s="257">
        <f>SUM(AI14:AI54)</f>
        <v>0.86170297793096262</v>
      </c>
      <c r="AJ56" s="257"/>
      <c r="AK56" s="17"/>
      <c r="AL56" s="259">
        <f>SUM(AL14:AL54)</f>
        <v>0.50867891862318981</v>
      </c>
      <c r="AM56" s="260">
        <f>SUM(AM14:AM54)</f>
        <v>7.5437083631819055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1</v>
      </c>
      <c r="T67" s="89">
        <f>J67*O67*S67</f>
        <v>102.90867477035719</v>
      </c>
      <c r="U67" s="269"/>
      <c r="V67" s="269"/>
      <c r="W67" s="1144">
        <f t="shared" si="34"/>
        <v>4.6555099991632503</v>
      </c>
      <c r="X67" s="1144">
        <f t="shared" si="34"/>
        <v>4.6555099991632503</v>
      </c>
      <c r="Y67" s="1144">
        <f t="shared" si="34"/>
        <v>4.2830691992301899</v>
      </c>
      <c r="Z67" s="1136">
        <f t="shared" si="35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6"/>
        <v>24.639999999999997</v>
      </c>
      <c r="AH67" s="89">
        <f t="shared" si="37"/>
        <v>8.3686519956489001</v>
      </c>
      <c r="AI67" s="89">
        <f t="shared" si="38"/>
        <v>0.83686519956489003</v>
      </c>
      <c r="AJ67" s="89">
        <f>AH67</f>
        <v>8.3686519956489001</v>
      </c>
      <c r="AK67" s="227">
        <f>EquipmentSpecs!L67</f>
        <v>1.1100000000000001</v>
      </c>
      <c r="AL67" s="226">
        <f>O67*S67*AK67</f>
        <v>0.15325077399380807</v>
      </c>
      <c r="AM67" s="230">
        <f>AL67*$AL$11</f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4"/>
        <v>9.3561495899924713E-2</v>
      </c>
      <c r="X68" s="1146">
        <f t="shared" si="34"/>
        <v>9.3561495899924713E-2</v>
      </c>
      <c r="Y68" s="1146">
        <f t="shared" si="34"/>
        <v>8.6076576227930718E-2</v>
      </c>
      <c r="Z68" s="1139">
        <f t="shared" si="35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6"/>
        <v>8.58</v>
      </c>
      <c r="AH68" s="235">
        <f t="shared" si="37"/>
        <v>0.14570420885281568</v>
      </c>
      <c r="AI68" s="235">
        <f t="shared" si="38"/>
        <v>1.4570420885281569E-2</v>
      </c>
      <c r="AJ68" s="235">
        <f>AH68</f>
        <v>0.14570420885281568</v>
      </c>
      <c r="AK68" s="237">
        <f>EquipmentSpecs!L68</f>
        <v>1.1100000000000001</v>
      </c>
      <c r="AL68" s="236">
        <f>O68*S68*AK68</f>
        <v>7.6625386996904037E-3</v>
      </c>
      <c r="AM68" s="241">
        <f>AL68*$AL$11</f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104.2793466674005</v>
      </c>
      <c r="U83" s="17"/>
      <c r="V83" s="257">
        <f>SUM(V64:V81)</f>
        <v>0.4223811916932072</v>
      </c>
      <c r="W83" s="1147"/>
      <c r="X83" s="1147">
        <f>Z83-(T83+V83)</f>
        <v>13.867288765584476</v>
      </c>
      <c r="Y83" s="1148">
        <f>(Z83-(T83+V83))/(T83+V83)</f>
        <v>0.132445653468555</v>
      </c>
      <c r="Z83" s="257">
        <f>SUM(Z64:Z81)</f>
        <v>118.56901662467818</v>
      </c>
      <c r="AA83" s="17"/>
      <c r="AB83" s="17"/>
      <c r="AC83" s="257">
        <f>SUM(AC64:AC81)</f>
        <v>22.079699467714562</v>
      </c>
      <c r="AD83" s="258"/>
      <c r="AE83" s="17"/>
      <c r="AF83" s="257">
        <f>SUM(AF64:AF81)</f>
        <v>3.9223085934231447E-2</v>
      </c>
      <c r="AG83" s="17"/>
      <c r="AH83" s="257">
        <f>SUM(AH64:AH81)</f>
        <v>8.5143562045017163</v>
      </c>
      <c r="AI83" s="257">
        <f>SUM(AI64:AI81)</f>
        <v>0.85143562045017163</v>
      </c>
      <c r="AJ83" s="257"/>
      <c r="AK83" s="17"/>
      <c r="AL83" s="259">
        <f>SUM(AL64:AL81)</f>
        <v>0.16091331269349848</v>
      </c>
      <c r="AM83" s="257">
        <f>SUM(AM64:AM81)</f>
        <v>2.3863444272445826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Round Module Cover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1200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Pound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Pound</v>
      </c>
    </row>
    <row r="4" spans="1:8" ht="13.9" x14ac:dyDescent="0.4">
      <c r="A4" s="91" t="s">
        <v>300</v>
      </c>
      <c r="B4" s="121">
        <f>SummaryReport_Verification!B27</f>
        <v>822.92254301574553</v>
      </c>
      <c r="C4" s="121">
        <f>SummaryReport_Verification!B32</f>
        <v>0.68576878584645462</v>
      </c>
      <c r="D4" s="121">
        <f>SummaryReport_Verification!B28</f>
        <v>5.0774569842543542</v>
      </c>
      <c r="E4" s="121">
        <f>SummaryReport_Verification!B29</f>
        <v>213.51159530605307</v>
      </c>
      <c r="F4" s="121">
        <f>SummaryReport_Verification!B30</f>
        <v>1036.4341383217986</v>
      </c>
      <c r="G4" s="121">
        <f>SummaryReport_Verification!B31</f>
        <v>-208.43413832179874</v>
      </c>
      <c r="H4" s="121">
        <f>SummaryReport_Verification!B33</f>
        <v>0.86369511526816556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822.92254301574553</v>
      </c>
      <c r="C9" s="122">
        <f t="shared" si="0"/>
        <v>0.68576878584645462</v>
      </c>
      <c r="D9" s="122">
        <f t="shared" si="0"/>
        <v>5.0774569842543542</v>
      </c>
      <c r="E9" s="122">
        <f t="shared" si="0"/>
        <v>213.51159530605307</v>
      </c>
      <c r="F9" s="122">
        <f t="shared" si="0"/>
        <v>1036.4341383217986</v>
      </c>
      <c r="G9" s="122">
        <f t="shared" si="0"/>
        <v>-208.43413832179874</v>
      </c>
      <c r="H9" s="122">
        <f t="shared" si="0"/>
        <v>0.86369511526816556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(lb.)</v>
      </c>
      <c r="B4" s="163">
        <f>Budget!D3</f>
        <v>1200</v>
      </c>
      <c r="C4" s="113"/>
      <c r="D4" s="113"/>
      <c r="E4" s="113"/>
      <c r="F4" s="113"/>
      <c r="G4" s="163">
        <f>AVERAGE(B4:F4)</f>
        <v>1200</v>
      </c>
    </row>
    <row r="5" spans="1:8" ht="13.9" x14ac:dyDescent="0.4">
      <c r="A5" s="96" t="str">
        <f>IF(A2_Budget_Look_Up!B7=1,"Price ($/lb.)",'C1_Messages_Indicators'!E26)</f>
        <v>Price ($/lb.)</v>
      </c>
      <c r="B5" s="96">
        <f>Budget!E3</f>
        <v>0.69</v>
      </c>
      <c r="C5" s="96"/>
      <c r="D5" s="96"/>
      <c r="E5" s="96"/>
      <c r="F5" s="96"/>
      <c r="G5" s="96">
        <f>AVERAGE(B5:F5)</f>
        <v>0.69</v>
      </c>
    </row>
    <row r="6" spans="1:8" ht="13.5" x14ac:dyDescent="0.35">
      <c r="A6" s="107" t="s">
        <v>231</v>
      </c>
      <c r="B6" s="114">
        <f>Budget!F3</f>
        <v>827.99999999999989</v>
      </c>
      <c r="C6" s="114"/>
      <c r="D6" s="114"/>
      <c r="E6" s="114"/>
      <c r="F6" s="114"/>
      <c r="G6" s="114">
        <f>AVERAGE(B6:F6)</f>
        <v>827.99999999999989</v>
      </c>
    </row>
    <row r="7" spans="1:8" ht="13.5" x14ac:dyDescent="0.35">
      <c r="A7" s="107" t="str">
        <f>IF(A2_Budget_Look_Up!B7=1,"Cottonseed Value"," ")</f>
        <v>Cottonseed Value</v>
      </c>
      <c r="B7" s="114">
        <f>IF(A2_Budget_Look_Up!B7=1,Budget!F4," ")</f>
        <v>179.82</v>
      </c>
      <c r="C7" s="114"/>
      <c r="D7" s="114"/>
      <c r="E7" s="114"/>
      <c r="F7" s="114"/>
      <c r="G7" s="114">
        <f>IF(A2_Budget_Look_Up!B7=1,AVERAGE(SummaryReport_Verification!B7:F7)," ")</f>
        <v>179.82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113.05</v>
      </c>
      <c r="C9" s="96"/>
      <c r="D9" s="96"/>
      <c r="E9" s="96"/>
      <c r="F9" s="96"/>
      <c r="G9" s="96">
        <f t="shared" ref="G9:G28" si="0">AVERAGE(B9:F9)</f>
        <v>113.05</v>
      </c>
      <c r="H9" s="1898">
        <f>G9/G$23</f>
        <v>0.14304300386354551</v>
      </c>
    </row>
    <row r="10" spans="1:8" ht="13.9" x14ac:dyDescent="0.4">
      <c r="A10" s="91" t="s">
        <v>224</v>
      </c>
      <c r="B10" s="96">
        <f>SUM(Budget!F7:F13)</f>
        <v>165.09916666666666</v>
      </c>
      <c r="C10" s="96"/>
      <c r="D10" s="96"/>
      <c r="E10" s="96"/>
      <c r="F10" s="96"/>
      <c r="G10" s="96">
        <f t="shared" si="0"/>
        <v>165.09916666666666</v>
      </c>
      <c r="H10" s="1898">
        <f>G10/G$23</f>
        <v>0.20890120066667975</v>
      </c>
    </row>
    <row r="11" spans="1:8" ht="13.9" x14ac:dyDescent="0.4">
      <c r="A11" s="91" t="str">
        <f>Budget!A14</f>
        <v>Herbicide</v>
      </c>
      <c r="B11" s="96">
        <f>Budget!F14</f>
        <v>112.36137499999998</v>
      </c>
      <c r="C11" s="96"/>
      <c r="D11" s="96"/>
      <c r="E11" s="96"/>
      <c r="F11" s="96"/>
      <c r="G11" s="96">
        <f t="shared" si="0"/>
        <v>112.36137499999998</v>
      </c>
      <c r="H11" s="1898">
        <f>SUM(G11:G14)/$G$23</f>
        <v>0.2598020139305921</v>
      </c>
    </row>
    <row r="12" spans="1:8" ht="15" customHeight="1" x14ac:dyDescent="0.4">
      <c r="A12" s="91" t="str">
        <f>Budget!A15</f>
        <v>Insecticide</v>
      </c>
      <c r="B12" s="96">
        <f>Budget!F15</f>
        <v>69.603125000000006</v>
      </c>
      <c r="C12" s="96"/>
      <c r="D12" s="96"/>
      <c r="E12" s="96"/>
      <c r="F12" s="96"/>
      <c r="G12" s="96">
        <f t="shared" si="0"/>
        <v>69.603125000000006</v>
      </c>
    </row>
    <row r="13" spans="1:8" ht="13.9" x14ac:dyDescent="0.4">
      <c r="A13" s="91" t="str">
        <f>IF(A2_Budget_Look_Up!B13&gt;0,Budget!A17,Budget!A16)</f>
        <v>Nematicide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23.3626875</v>
      </c>
      <c r="C14" s="96"/>
      <c r="D14" s="96"/>
      <c r="E14" s="96"/>
      <c r="F14" s="96"/>
      <c r="G14" s="96">
        <f t="shared" si="0"/>
        <v>23.3626875</v>
      </c>
    </row>
    <row r="15" spans="1:8" ht="13.9" x14ac:dyDescent="0.4">
      <c r="A15" s="91" t="s">
        <v>225</v>
      </c>
      <c r="B15" s="96">
        <f>SUM(Budget!F20:F23)</f>
        <v>124.5</v>
      </c>
      <c r="C15" s="96"/>
      <c r="D15" s="96"/>
      <c r="E15" s="96"/>
      <c r="F15" s="96"/>
      <c r="G15" s="96">
        <f t="shared" si="0"/>
        <v>124.5</v>
      </c>
    </row>
    <row r="16" spans="1:8" ht="13.9" x14ac:dyDescent="0.4">
      <c r="A16" s="91" t="s">
        <v>421</v>
      </c>
      <c r="B16" s="96">
        <f>Budget!F31+Budget!F32</f>
        <v>35.85</v>
      </c>
      <c r="C16" s="96"/>
      <c r="D16" s="96"/>
      <c r="E16" s="96"/>
      <c r="F16" s="96"/>
      <c r="G16" s="96">
        <f>AVERAGE(B16:F16)</f>
        <v>35.85</v>
      </c>
    </row>
    <row r="17" spans="1:7" ht="13.9" x14ac:dyDescent="0.4">
      <c r="A17" s="91" t="s">
        <v>462</v>
      </c>
      <c r="B17" s="96">
        <f>Budget!F25+Budget!F27</f>
        <v>17.131385983811342</v>
      </c>
      <c r="C17" s="96"/>
      <c r="D17" s="96"/>
      <c r="E17" s="96"/>
      <c r="F17" s="96"/>
      <c r="G17" s="96">
        <f t="shared" si="0"/>
        <v>17.131385983811342</v>
      </c>
    </row>
    <row r="18" spans="1:7" ht="13.9" x14ac:dyDescent="0.4">
      <c r="A18" s="91" t="s">
        <v>227</v>
      </c>
      <c r="B18" s="96">
        <f>Budget!F29</f>
        <v>34.86698941353383</v>
      </c>
      <c r="C18" s="96"/>
      <c r="D18" s="96"/>
      <c r="E18" s="96"/>
      <c r="F18" s="96"/>
      <c r="G18" s="96">
        <f>AVERAGE(B18:F18)</f>
        <v>34.86698941353383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695.82472956401182</v>
      </c>
      <c r="C19" s="108"/>
      <c r="D19" s="108"/>
      <c r="E19" s="108"/>
      <c r="F19" s="108"/>
      <c r="G19" s="108">
        <f>AVERAGE(B19:F19)</f>
        <v>695.82472956401182</v>
      </c>
    </row>
    <row r="20" spans="1:7" ht="13.9" x14ac:dyDescent="0.4">
      <c r="A20" s="91" t="s">
        <v>778</v>
      </c>
      <c r="B20" s="96">
        <f>SUM(Budget!F34:F36)</f>
        <v>41</v>
      </c>
      <c r="C20" s="108"/>
      <c r="D20" s="108"/>
      <c r="E20" s="108"/>
      <c r="F20" s="108"/>
      <c r="G20" s="96">
        <f t="shared" si="0"/>
        <v>41</v>
      </c>
    </row>
    <row r="21" spans="1:7" ht="15.4" x14ac:dyDescent="0.4">
      <c r="A21" s="91" t="s">
        <v>754</v>
      </c>
      <c r="B21" s="96">
        <f>Budget!F26+Budget!F28+Budget!F30</f>
        <v>34.378319648678698</v>
      </c>
      <c r="C21" s="96"/>
      <c r="D21" s="96"/>
      <c r="E21" s="96"/>
      <c r="F21" s="96"/>
      <c r="G21" s="96">
        <f t="shared" si="0"/>
        <v>34.378319648678698</v>
      </c>
    </row>
    <row r="22" spans="1:7" ht="13.9" x14ac:dyDescent="0.4">
      <c r="A22" s="91" t="s">
        <v>214</v>
      </c>
      <c r="B22" s="96">
        <f>Budget!F33</f>
        <v>19.11872079042649</v>
      </c>
      <c r="C22" s="96"/>
      <c r="D22" s="96"/>
      <c r="E22" s="96"/>
      <c r="F22" s="96"/>
      <c r="G22" s="96">
        <f t="shared" si="0"/>
        <v>19.11872079042649</v>
      </c>
    </row>
    <row r="23" spans="1:7" ht="13.9" x14ac:dyDescent="0.4">
      <c r="A23" s="107" t="s">
        <v>640</v>
      </c>
      <c r="B23" s="108">
        <f>SUM(Budget!F6:F18)+SUM(Budget!F20:F23)+SUM(Budget!F25:F36)</f>
        <v>790.32177000311697</v>
      </c>
      <c r="C23" s="96"/>
      <c r="D23" s="96"/>
      <c r="E23" s="96"/>
      <c r="F23" s="96"/>
      <c r="G23" s="108">
        <f t="shared" si="0"/>
        <v>790.32177000311697</v>
      </c>
    </row>
    <row r="24" spans="1:7" ht="13.9" x14ac:dyDescent="0.4">
      <c r="A24" s="91" t="s">
        <v>28</v>
      </c>
      <c r="B24" s="96">
        <f>Budget!F37</f>
        <v>32.600773012628572</v>
      </c>
      <c r="C24" s="96"/>
      <c r="D24" s="96"/>
      <c r="E24" s="96"/>
      <c r="F24" s="96"/>
      <c r="G24" s="96">
        <f t="shared" si="0"/>
        <v>32.600773012628572</v>
      </c>
    </row>
    <row r="25" spans="1:7" ht="15" customHeight="1" x14ac:dyDescent="0.4">
      <c r="A25" s="91" t="s">
        <v>228</v>
      </c>
      <c r="B25" s="96">
        <f>SUM(Budget!F39:F43)</f>
        <v>179.82</v>
      </c>
      <c r="C25" s="96"/>
      <c r="D25" s="96"/>
      <c r="E25" s="96"/>
      <c r="F25" s="96"/>
      <c r="G25" s="96">
        <f t="shared" si="0"/>
        <v>179.82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Operating Expenses</v>
      </c>
      <c r="B27" s="108">
        <f>SUM(B9:B18)+SUM(B20:B22)+SUM(B24:B26)-IF(A2_Budget_Look_Up!B7=1,B7,0)</f>
        <v>822.92254301574553</v>
      </c>
      <c r="C27" s="108"/>
      <c r="D27" s="108"/>
      <c r="E27" s="108"/>
      <c r="F27" s="108"/>
      <c r="G27" s="108">
        <f t="shared" si="0"/>
        <v>822.92254301574553</v>
      </c>
    </row>
    <row r="28" spans="1:7" ht="13.5" x14ac:dyDescent="0.35">
      <c r="A28" s="107" t="s">
        <v>233</v>
      </c>
      <c r="B28" s="114">
        <f>B6-B27</f>
        <v>5.0774569842543542</v>
      </c>
      <c r="C28" s="114"/>
      <c r="D28" s="114"/>
      <c r="E28" s="114"/>
      <c r="F28" s="114"/>
      <c r="G28" s="114">
        <f t="shared" si="0"/>
        <v>5.0774569842543542</v>
      </c>
    </row>
    <row r="29" spans="1:7" ht="13.9" x14ac:dyDescent="0.4">
      <c r="A29" s="91" t="s">
        <v>230</v>
      </c>
      <c r="B29" s="96">
        <f>Budget!F51</f>
        <v>213.51159530605307</v>
      </c>
      <c r="C29" s="96"/>
      <c r="D29" s="96"/>
      <c r="E29" s="96"/>
      <c r="F29" s="96"/>
      <c r="G29" s="96">
        <f>AVERAGE(B29:F29)</f>
        <v>213.51159530605307</v>
      </c>
    </row>
    <row r="30" spans="1:7" ht="15.4" x14ac:dyDescent="0.35">
      <c r="A30" s="107" t="s">
        <v>753</v>
      </c>
      <c r="B30" s="108">
        <f>B27+B29</f>
        <v>1036.4341383217986</v>
      </c>
      <c r="C30" s="108"/>
      <c r="D30" s="108"/>
      <c r="E30" s="108"/>
      <c r="F30" s="108"/>
      <c r="G30" s="108">
        <f>AVERAGE(B30:F30)</f>
        <v>1036.4341383217986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-208.43413832179874</v>
      </c>
      <c r="C31" s="114"/>
      <c r="D31" s="114"/>
      <c r="E31" s="114"/>
      <c r="F31" s="114"/>
      <c r="G31" s="114">
        <f>AVERAGE(B31:F31)</f>
        <v>-208.43413832179874</v>
      </c>
    </row>
    <row r="32" spans="1:7" ht="13.9" x14ac:dyDescent="0.4">
      <c r="A32" s="96" t="str">
        <f>IF(A2_Budget_Look_Up!B7=1,"Operating Expenses/lb.",'C1_Messages_Indicators'!F26)</f>
        <v>Operating Expenses/lb.</v>
      </c>
      <c r="B32" s="96">
        <f>B27/B4</f>
        <v>0.68576878584645462</v>
      </c>
      <c r="C32" s="96"/>
      <c r="D32" s="96"/>
      <c r="E32" s="96"/>
      <c r="F32" s="96"/>
      <c r="G32" s="96">
        <f>AVERAGE(B32:F32)</f>
        <v>0.68576878584645462</v>
      </c>
    </row>
    <row r="33" spans="1:7" ht="13.9" x14ac:dyDescent="0.4">
      <c r="A33" s="92" t="str">
        <f>IF(A2_Budget_Look_Up!B7=1,"Total Expenses/lb.",'C1_Messages_Indicators'!H26)</f>
        <v>Total Expenses/lb.</v>
      </c>
      <c r="B33" s="98">
        <f>B30/B4</f>
        <v>0.86369511526816556</v>
      </c>
      <c r="C33" s="98"/>
      <c r="D33" s="98"/>
      <c r="E33" s="98"/>
      <c r="F33" s="98"/>
      <c r="G33" s="98">
        <f>AVERAGE(B33:F33)</f>
        <v>0.86369511526816556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31. 2026 Cotton Enterprise Budget, B3XF, Furrow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Lbs</v>
      </c>
      <c r="D3" s="307">
        <f>Budget!D3</f>
        <v>1200</v>
      </c>
      <c r="E3" s="307">
        <f>Budget!E3</f>
        <v>0.69</v>
      </c>
      <c r="F3" s="307">
        <f>Budget!F3</f>
        <v>827.99999999999989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>Cottonseed Value</v>
      </c>
      <c r="B4" s="403">
        <f>Budget!B4</f>
        <v>1</v>
      </c>
      <c r="C4" s="307" t="str">
        <f>Budget!C4</f>
        <v>Ton</v>
      </c>
      <c r="D4" s="407">
        <f>Budget!D4</f>
        <v>0.9</v>
      </c>
      <c r="E4" s="307">
        <f>Budget!E4</f>
        <v>199.79999999999998</v>
      </c>
      <c r="F4" s="307">
        <f>Budget!F4</f>
        <v>179.82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Fees; See Note 2</v>
      </c>
      <c r="B6" s="403">
        <f>Budget!B6</f>
        <v>1</v>
      </c>
      <c r="C6" s="307" t="str">
        <f>Budget!C6</f>
        <v>Thous</v>
      </c>
      <c r="D6" s="406">
        <f>Budget!D6</f>
        <v>47.5</v>
      </c>
      <c r="E6" s="307">
        <f>Budget!E6</f>
        <v>2.38</v>
      </c>
      <c r="F6" s="307">
        <f>Budget!F6</f>
        <v>113.05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275</v>
      </c>
      <c r="E7" s="307">
        <f>Budget!E7</f>
        <v>0.28083333333333332</v>
      </c>
      <c r="F7" s="307">
        <f>Budget!F7</f>
        <v>77.229166666666657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100</v>
      </c>
      <c r="E8" s="307">
        <f>Budget!E8</f>
        <v>0.40500000000000003</v>
      </c>
      <c r="F8" s="307">
        <f>Budget!F8</f>
        <v>40.5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50</v>
      </c>
      <c r="E10" s="307">
        <f>Budget!E10</f>
        <v>0.26750000000000002</v>
      </c>
      <c r="F10" s="307">
        <f>Budget!F10</f>
        <v>13.375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1</v>
      </c>
      <c r="E11" s="307">
        <f>Budget!E11</f>
        <v>0.72</v>
      </c>
      <c r="F11" s="307">
        <f>Budget!F11</f>
        <v>0.72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112.36137499999998</v>
      </c>
      <c r="F13" s="307">
        <f>Budget!F14</f>
        <v>112.36137499999998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69.603125000000006</v>
      </c>
      <c r="F14" s="307">
        <f>Budget!F15</f>
        <v>69.603125000000006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Growth Regulator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3.7845624999999998</v>
      </c>
      <c r="F16" s="307">
        <f>Budget!F17</f>
        <v>3.7845624999999998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Defoliant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19.578125</v>
      </c>
      <c r="F17" s="307">
        <f>Budget!F18</f>
        <v>19.578125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11</v>
      </c>
      <c r="E19" s="307">
        <f>Budget!E20</f>
        <v>9.5</v>
      </c>
      <c r="F19" s="307">
        <f>Budget!F20</f>
        <v>104.5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3.5028576338657014</v>
      </c>
      <c r="E24" s="307">
        <f>Budget!E25</f>
        <v>2.46</v>
      </c>
      <c r="F24" s="307">
        <f>Budget!F25</f>
        <v>8.6170297793096253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7.7400220950298984</v>
      </c>
      <c r="F25" s="307">
        <f>Budget!F26</f>
        <v>7.7400220950298984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3.4611204083340312</v>
      </c>
      <c r="E26" s="307">
        <f>Budget!E27</f>
        <v>2.46</v>
      </c>
      <c r="F26" s="307">
        <f>Budget!F27</f>
        <v>8.5143562045017163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22.118922553648794</v>
      </c>
      <c r="F27" s="307">
        <f>Budget!F28</f>
        <v>22.118922553648794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2.9055824511278194</v>
      </c>
      <c r="F28" s="307">
        <f>Budget!F29</f>
        <v>34.86698941353383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0.37661458333333336</v>
      </c>
      <c r="F29" s="307">
        <f>Budget!F30</f>
        <v>4.5193750000000001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16.25</v>
      </c>
      <c r="F30" s="307">
        <f>Budget!F31</f>
        <v>16.25</v>
      </c>
    </row>
    <row r="31" spans="1:6" ht="14.1" customHeight="1" x14ac:dyDescent="0.4">
      <c r="A31" s="4" t="str">
        <f>Budget!A32</f>
        <v>Round Module Cover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19.600000000000001</v>
      </c>
      <c r="F31" s="307">
        <f>Budget!F32</f>
        <v>19.600000000000001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1.2891922313166884</v>
      </c>
      <c r="E32" s="307">
        <f>Budget!E33</f>
        <v>14.83</v>
      </c>
      <c r="F32" s="307">
        <f>Budget!F33</f>
        <v>19.11872079042649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Boll Weevil Eradication Fee; See Note 3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3</v>
      </c>
      <c r="F34" s="307">
        <f>Budget!F35</f>
        <v>3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28</v>
      </c>
      <c r="F35" s="307">
        <f>Budget!F36</f>
        <v>28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790.32177000311685</v>
      </c>
      <c r="F36" s="307">
        <f>Budget!F37</f>
        <v>32.600773012628572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Expenses; See Note 4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Hauling, Ginning</v>
      </c>
      <c r="B39" s="403">
        <f>Budget!B40</f>
        <v>1</v>
      </c>
      <c r="C39" s="307" t="str">
        <f>Budget!C40</f>
        <v>Lbs</v>
      </c>
      <c r="D39" s="307">
        <f>Budget!D40</f>
        <v>1200</v>
      </c>
      <c r="E39" s="307">
        <f>Budget!E40</f>
        <v>0.1</v>
      </c>
      <c r="F39" s="307">
        <f>Budget!F40</f>
        <v>120</v>
      </c>
    </row>
    <row r="40" spans="1:6" ht="14.1" customHeight="1" x14ac:dyDescent="0.4">
      <c r="A40" s="4" t="str">
        <f>Budget!A41</f>
        <v xml:space="preserve">   Storage and Warehousing</v>
      </c>
      <c r="B40" s="403">
        <f>Budget!B41</f>
        <v>1</v>
      </c>
      <c r="C40" s="307" t="str">
        <f>Budget!C41</f>
        <v>Bale</v>
      </c>
      <c r="D40" s="307">
        <f>Budget!D41</f>
        <v>2.4</v>
      </c>
      <c r="E40" s="307">
        <f>Budget!E41</f>
        <v>20</v>
      </c>
      <c r="F40" s="307">
        <f>Budget!F41</f>
        <v>48</v>
      </c>
    </row>
    <row r="41" spans="1:6" ht="14.1" customHeight="1" x14ac:dyDescent="0.4">
      <c r="A41" s="4" t="str">
        <f>Budget!A42</f>
        <v xml:space="preserve">   Promotions, Boards, Classing</v>
      </c>
      <c r="B41" s="403">
        <f>Budget!B42</f>
        <v>1</v>
      </c>
      <c r="C41" s="307" t="str">
        <f>Budget!C42</f>
        <v>Bale</v>
      </c>
      <c r="D41" s="307">
        <f>Budget!D42</f>
        <v>2.4</v>
      </c>
      <c r="E41" s="307">
        <f>Budget!E42</f>
        <v>4.9249999999999998</v>
      </c>
      <c r="F41" s="307">
        <f>Budget!F42</f>
        <v>11.819999999999999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811.64754301574544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16.352456984254445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167.00534401546685</v>
      </c>
      <c r="F47" s="311">
        <f>Budget!F48</f>
        <v>167.00534401546685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38.155984089812883</v>
      </c>
      <c r="F48" s="311">
        <f>Budget!F49</f>
        <v>38.155984089812883</v>
      </c>
    </row>
    <row r="49" spans="1:6" ht="14.1" customHeight="1" x14ac:dyDescent="0.4">
      <c r="A49" s="4" t="str">
        <f>Budget!A50</f>
        <v>Farm Overhead; See Note 5</v>
      </c>
      <c r="B49" s="311"/>
      <c r="C49" s="311" t="str">
        <f>Budget!C50</f>
        <v>Acre</v>
      </c>
      <c r="D49" s="408">
        <f>Budget!D50</f>
        <v>1</v>
      </c>
      <c r="E49" s="311">
        <f>Budget!E50</f>
        <v>8.3502672007733434</v>
      </c>
      <c r="F49" s="311">
        <f>Budget!F50</f>
        <v>8.3502672007733434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213.51159530605307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1025.1591383217985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-197.15913832179865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Technology fees vary by geographical location.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>Note 3: Boll weevil eradication fee is $3 in Arkansas.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>Note 4: Cottonseed value deducted from post-harvest expenses for calculating operating expenses.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>Note 5: Estimate based on machinery and equipment.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B3XF Cotton, Furrow</v>
      </c>
      <c r="H1" s="1246"/>
      <c r="I1" s="1442"/>
    </row>
    <row r="2" spans="1:9" ht="15" customHeight="1" x14ac:dyDescent="0.4">
      <c r="A2" s="1806" t="str">
        <f>Print_Summary!G1</f>
        <v>B3XF Cotton, Furrow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790321.77000311692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820">
        <f>Budget!D3</f>
        <v>1200</v>
      </c>
      <c r="C6" s="1820"/>
      <c r="D6" s="1821">
        <f>B6*Print_Summary!$I$2</f>
        <v>1200000</v>
      </c>
      <c r="E6" s="1097" t="s">
        <v>797</v>
      </c>
      <c r="F6" s="1541">
        <f>B6*0.9</f>
        <v>1080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/>
      <c r="D7" s="1823">
        <f>B7</f>
        <v>0.69</v>
      </c>
      <c r="E7" s="1097" t="s">
        <v>791</v>
      </c>
      <c r="F7" s="1542">
        <f>B7</f>
        <v>0.69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827.99999999999989</v>
      </c>
      <c r="C9" s="1826"/>
      <c r="D9" s="1827">
        <f>B9*Print_Summary!$I$2</f>
        <v>827999.99999999988</v>
      </c>
      <c r="E9" s="667" t="s">
        <v>13</v>
      </c>
      <c r="F9" s="1828">
        <f>F6*F7</f>
        <v>745.19999999999993</v>
      </c>
      <c r="G9" s="4"/>
      <c r="H9" s="4"/>
      <c r="I9" s="4"/>
    </row>
    <row r="10" spans="1:9" ht="13.9" x14ac:dyDescent="0.4">
      <c r="A10" s="1825" t="str">
        <f>IF(A2_Budget_Look_Up!B7=1,"Cottonseed Value"," ")</f>
        <v>Cottonseed Value</v>
      </c>
      <c r="B10" s="173">
        <f>IF(A2_Budget_Look_Up!B7=1,Budget!F4," ")</f>
        <v>179.82</v>
      </c>
      <c r="C10" s="173"/>
      <c r="D10" s="1827">
        <f>IF(A2_Budget_Look_Up!B7=1,B10*Print_Summary!$I$2," ")</f>
        <v>179820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$/lb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35">
        <f>B13/$B$6</f>
        <v>9.4208333333333324E-2</v>
      </c>
      <c r="D13" s="1821">
        <f>B13*Print_Summary!$I$2</f>
        <v>113050</v>
      </c>
      <c r="E13" s="4"/>
      <c r="F13" s="1824">
        <f>B13/$F$9</f>
        <v>0.15170424047235642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165.09916666666666</v>
      </c>
      <c r="C14" s="1835">
        <f t="shared" ref="C14:C34" si="0">B14/$B$6</f>
        <v>0.13758263888888889</v>
      </c>
      <c r="D14" s="1821">
        <f>B14*Print_Summary!$I$2</f>
        <v>165099.16666666666</v>
      </c>
      <c r="E14" s="4"/>
      <c r="F14" s="1824">
        <f t="shared" ref="F14:F19" si="1">B14/$F$9</f>
        <v>0.2215501431383074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205.32718749999998</v>
      </c>
      <c r="C15" s="1835">
        <f t="shared" si="0"/>
        <v>0.17110598958333331</v>
      </c>
      <c r="D15" s="1821">
        <f>B15*Print_Summary!$I$2</f>
        <v>205327.18749999997</v>
      </c>
      <c r="E15" s="4"/>
      <c r="F15" s="1824">
        <f t="shared" si="1"/>
        <v>0.2755329944981213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124.5</v>
      </c>
      <c r="C16" s="1835">
        <f t="shared" si="0"/>
        <v>0.10375</v>
      </c>
      <c r="D16" s="1821">
        <f>B16*Print_Summary!$I$2</f>
        <v>124500</v>
      </c>
      <c r="E16" s="4"/>
      <c r="F16" s="1824">
        <f t="shared" si="1"/>
        <v>0.1670692431561997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17.131385983811342</v>
      </c>
      <c r="C17" s="1835">
        <f t="shared" si="0"/>
        <v>1.4276154986509451E-2</v>
      </c>
      <c r="D17" s="1821">
        <f>B17*Print_Summary!$I$2</f>
        <v>17131.385983811342</v>
      </c>
      <c r="E17" s="4"/>
      <c r="F17" s="1824">
        <f t="shared" si="1"/>
        <v>2.2988977433992676E-2</v>
      </c>
    </row>
    <row r="18" spans="1:6" ht="13.9" x14ac:dyDescent="0.4">
      <c r="A18" s="1834" t="s">
        <v>227</v>
      </c>
      <c r="B18" s="1835">
        <f>Budget!F29</f>
        <v>34.86698941353383</v>
      </c>
      <c r="C18" s="1835">
        <f t="shared" si="0"/>
        <v>2.9055824511278191E-2</v>
      </c>
      <c r="D18" s="1821">
        <f>B18*Print_Summary!$I$2</f>
        <v>34866.989413533833</v>
      </c>
      <c r="E18" s="4"/>
      <c r="F18" s="1824">
        <f t="shared" si="1"/>
        <v>4.678876732895039E-2</v>
      </c>
    </row>
    <row r="19" spans="1:6" ht="13.9" x14ac:dyDescent="0.4">
      <c r="A19" s="1834" t="s">
        <v>421</v>
      </c>
      <c r="B19" s="1835">
        <f>Budget!F31+Budget!F32</f>
        <v>35.85</v>
      </c>
      <c r="C19" s="1835">
        <f t="shared" si="0"/>
        <v>2.9875000000000002E-2</v>
      </c>
      <c r="D19" s="1821">
        <f>B19*Print_Summary!$I$2</f>
        <v>35850</v>
      </c>
      <c r="E19" s="4"/>
      <c r="F19" s="1824">
        <f t="shared" si="1"/>
        <v>4.8107890499194852E-2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695.82472956401182</v>
      </c>
      <c r="C20" s="1836">
        <f t="shared" si="0"/>
        <v>0.57985394130334322</v>
      </c>
      <c r="D20" s="1827">
        <f>B20*Print_Summary!$I$2</f>
        <v>695824.7295640118</v>
      </c>
      <c r="E20" s="308"/>
      <c r="F20" s="1837">
        <f t="shared" ref="F20:F28" si="2">B20/$F$9</f>
        <v>0.93374225652712273</v>
      </c>
    </row>
    <row r="21" spans="1:6" ht="13.9" x14ac:dyDescent="0.4">
      <c r="A21" s="1834" t="s">
        <v>778</v>
      </c>
      <c r="B21" s="1835">
        <f>Budget!F34+Budget!F35</f>
        <v>13</v>
      </c>
      <c r="C21" s="1835">
        <f t="shared" si="0"/>
        <v>1.0833333333333334E-2</v>
      </c>
      <c r="D21" s="1821">
        <f>B21*Print_Summary!$I$2</f>
        <v>13000</v>
      </c>
      <c r="E21" s="4"/>
      <c r="F21" s="1824">
        <f t="shared" si="2"/>
        <v>1.7444981213097156E-2</v>
      </c>
    </row>
    <row r="22" spans="1:6" ht="13.9" x14ac:dyDescent="0.4">
      <c r="A22" s="1834" t="s">
        <v>1</v>
      </c>
      <c r="B22" s="1835">
        <f>Budget!F36</f>
        <v>28</v>
      </c>
      <c r="C22" s="1835">
        <f t="shared" si="0"/>
        <v>2.3333333333333334E-2</v>
      </c>
      <c r="D22" s="1821">
        <f>B22*Print_Summary!$I$2</f>
        <v>28000</v>
      </c>
      <c r="E22" s="4"/>
      <c r="F22" s="1824">
        <f t="shared" si="2"/>
        <v>3.7573805689747719E-2</v>
      </c>
    </row>
    <row r="23" spans="1:6" ht="13.9" x14ac:dyDescent="0.4">
      <c r="A23" s="1834" t="s">
        <v>749</v>
      </c>
      <c r="B23" s="1835">
        <f>Budget!F26+Budget!F28+Budget!F30</f>
        <v>34.378319648678698</v>
      </c>
      <c r="C23" s="1835">
        <f t="shared" si="0"/>
        <v>2.8648599707232249E-2</v>
      </c>
      <c r="D23" s="1821">
        <f>B23*Print_Summary!$I$2</f>
        <v>34378.319648678698</v>
      </c>
      <c r="E23" s="4"/>
      <c r="F23" s="1824">
        <f t="shared" si="2"/>
        <v>4.6133010800696053E-2</v>
      </c>
    </row>
    <row r="24" spans="1:6" ht="13.9" x14ac:dyDescent="0.4">
      <c r="A24" s="1834" t="s">
        <v>214</v>
      </c>
      <c r="B24" s="1835">
        <f>Budget!F33</f>
        <v>19.11872079042649</v>
      </c>
      <c r="C24" s="1835">
        <f t="shared" si="0"/>
        <v>1.5932267325355409E-2</v>
      </c>
      <c r="D24" s="1821">
        <f>B24*Print_Summary!$I$2</f>
        <v>19118.720790426491</v>
      </c>
      <c r="E24" s="4"/>
      <c r="F24" s="1824">
        <f t="shared" si="2"/>
        <v>2.565582500057232E-2</v>
      </c>
    </row>
    <row r="25" spans="1:6" ht="13.5" x14ac:dyDescent="0.35">
      <c r="A25" s="1825" t="s">
        <v>640</v>
      </c>
      <c r="B25" s="1836">
        <f>SUM(Budget!F6:F18)+SUM(Budget!F20:F23)+SUM(Budget!F25:F36)</f>
        <v>790.32177000311697</v>
      </c>
      <c r="C25" s="1836">
        <f t="shared" si="0"/>
        <v>0.65860147500259747</v>
      </c>
      <c r="D25" s="1827">
        <f>B25*Print_Summary!$I$2</f>
        <v>790321.77000311692</v>
      </c>
      <c r="E25" s="308"/>
      <c r="F25" s="1837">
        <f t="shared" si="2"/>
        <v>1.060549879231236</v>
      </c>
    </row>
    <row r="26" spans="1:6" ht="13.9" x14ac:dyDescent="0.4">
      <c r="A26" s="1834" t="s">
        <v>28</v>
      </c>
      <c r="B26" s="1835">
        <f>Budget!F37</f>
        <v>32.600773012628572</v>
      </c>
      <c r="C26" s="1835">
        <f t="shared" si="0"/>
        <v>2.7167310843857144E-2</v>
      </c>
      <c r="D26" s="1821">
        <f>B26*Print_Summary!$I$2</f>
        <v>32600.773012628571</v>
      </c>
      <c r="E26" s="4"/>
      <c r="F26" s="1824">
        <f t="shared" si="2"/>
        <v>4.3747682518288478E-2</v>
      </c>
    </row>
    <row r="27" spans="1:6" ht="13.9" x14ac:dyDescent="0.4">
      <c r="A27" s="1834" t="s">
        <v>228</v>
      </c>
      <c r="B27" s="1835">
        <f>SUM(Budget!F39:F43)</f>
        <v>179.82</v>
      </c>
      <c r="C27" s="1835">
        <f t="shared" si="0"/>
        <v>0.14984999999999998</v>
      </c>
      <c r="D27" s="1821">
        <f>B27*Print_Summary!$I$2</f>
        <v>179820</v>
      </c>
      <c r="E27" s="4"/>
      <c r="F27" s="1824">
        <f t="shared" si="2"/>
        <v>0.24130434782608698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822.92254301574553</v>
      </c>
      <c r="C29" s="1836">
        <f t="shared" si="0"/>
        <v>0.68576878584645462</v>
      </c>
      <c r="D29" s="1827">
        <f>B29*Print_Summary!$I$2</f>
        <v>822922.54301574558</v>
      </c>
      <c r="E29" s="308"/>
      <c r="F29" s="1824"/>
    </row>
    <row r="30" spans="1:6" ht="13.5" x14ac:dyDescent="0.35">
      <c r="A30" s="1825" t="s">
        <v>233</v>
      </c>
      <c r="B30" s="1826">
        <f>B9-B29-B31</f>
        <v>5.0774569842543542</v>
      </c>
      <c r="C30" s="1826">
        <f t="shared" si="0"/>
        <v>4.231214153545295E-3</v>
      </c>
      <c r="D30" s="1827">
        <f>B30*Print_Summary!$I$2</f>
        <v>5077.4569842543542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213.51159530605307</v>
      </c>
      <c r="C32" s="1835">
        <f t="shared" si="0"/>
        <v>0.17792632942171088</v>
      </c>
      <c r="D32" s="1821">
        <f>B32*Print_Summary!$I$2</f>
        <v>213511.59530605306</v>
      </c>
      <c r="E32" s="4"/>
      <c r="F32" s="1824">
        <f>B32/$F$9</f>
        <v>0.28651582837634604</v>
      </c>
    </row>
    <row r="33" spans="1:6" ht="13.5" x14ac:dyDescent="0.35">
      <c r="A33" s="1825" t="s">
        <v>650</v>
      </c>
      <c r="B33" s="1836">
        <f>B29+B32</f>
        <v>1036.4341383217986</v>
      </c>
      <c r="C33" s="1836">
        <f t="shared" si="0"/>
        <v>0.86369511526816556</v>
      </c>
      <c r="D33" s="1827">
        <f>B33*Print_Summary!$I$2</f>
        <v>1036434.1383217986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-208.43413832179874</v>
      </c>
      <c r="C34" s="1826">
        <f t="shared" si="0"/>
        <v>-0.17369511526816561</v>
      </c>
      <c r="D34" s="1827">
        <f>B34*Print_Summary!$I$2</f>
        <v>-208434.13832179873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Expenses/lb.</v>
      </c>
      <c r="B36" s="1097">
        <f>B29/B6</f>
        <v>0.68576878584645462</v>
      </c>
      <c r="C36" s="1097"/>
      <c r="D36" s="1823">
        <f>D29/D6</f>
        <v>0.68576878584645462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Expenses/lb.</v>
      </c>
      <c r="B37" s="1097">
        <f>B33/B6</f>
        <v>0.86369511526816556</v>
      </c>
      <c r="C37" s="1097"/>
      <c r="D37" s="1823">
        <f>D33/D6</f>
        <v>0.86369511526816556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B8" sqref="B8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31. 2026 Cotton Enterprise Budget, B3XF, Furrow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4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1</v>
      </c>
      <c r="C7" s="4"/>
      <c r="D7" s="183" t="str">
        <f>LOOKUP(C4,F3:F52,H3:H52)</f>
        <v>B3XF Cotton, Furrow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31. Details of Chemicals Applied, B3XF Cotton, Furrow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31. Machinery Capital Recovery and Operating Costs, B3XF Cotton, Furrow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31. 2026 Cotton Enterprise Budget, B3XF, Furrow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77.229166666666657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822.92254301574553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167.00534401546685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213.51159530605307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-208.43413832179874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0.9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>
        <f>IF(A2_Budget_Look_Up!B7=1,B16," ")</f>
        <v>0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2.4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1200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1200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1200</v>
      </c>
      <c r="J30" s="900"/>
    </row>
    <row r="31" spans="2:10" ht="12.75" customHeight="1" x14ac:dyDescent="0.4">
      <c r="B31" s="901">
        <f>IF(A2_Budget_Look_Up!B13&gt;0,Budget!D3*Budget!B41,I31)</f>
        <v>1200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1200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14.731992314724318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13.30143832416293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37.619890339812883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34.86698941353383</v>
      </c>
      <c r="C27" s="696">
        <f>C26*Budget!D29</f>
        <v>2.8030397321739131</v>
      </c>
      <c r="D27" s="696">
        <f>D26*Budget!D29</f>
        <v>3.0699958971428569</v>
      </c>
      <c r="E27" s="696">
        <f>E26*Budget!D29</f>
        <v>18.879199145864664</v>
      </c>
      <c r="F27" s="696">
        <f>F26*Budget!D29</f>
        <v>37.108990950102537</v>
      </c>
      <c r="G27" s="696">
        <f>G26*Budget!D29</f>
        <v>55.276934436090237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4.5193750000000001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4.5193750000000001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3.3E-3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3.3E-3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3.9599999999999996E-2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34.86698941353383</v>
      </c>
      <c r="C70" s="696">
        <f>C69*Budget!D29</f>
        <v>2.8030397321739131</v>
      </c>
      <c r="D70" s="696">
        <f>D69*Budget!D29</f>
        <v>3.0699958971428569</v>
      </c>
      <c r="E70" s="696">
        <f>E69*Budget!D29</f>
        <v>18.879199145864664</v>
      </c>
      <c r="F70" s="696">
        <f>F69*Budget!D29</f>
        <v>37.108990950102537</v>
      </c>
      <c r="G70" s="696">
        <f>G69*Budget!D29</f>
        <v>55.276934436090237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3.3E-3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3.3E-3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3.9599999999999996E-2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B3XF Cotton, Furrow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096">
        <f>Budget!D3</f>
        <v>1200</v>
      </c>
      <c r="C6" s="1822">
        <f>B6*Print_Summary!$I$2</f>
        <v>1200000</v>
      </c>
      <c r="D6" s="1845"/>
      <c r="E6" s="1096">
        <f t="shared" si="0"/>
        <v>1200</v>
      </c>
      <c r="F6" s="1821">
        <f t="shared" si="0"/>
        <v>1200000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>
        <f>B7</f>
        <v>0.69</v>
      </c>
      <c r="D7" s="1846"/>
      <c r="E7" s="1097">
        <f t="shared" si="0"/>
        <v>0.69</v>
      </c>
      <c r="F7" s="1847">
        <f t="shared" si="0"/>
        <v>0.69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827.99999999999989</v>
      </c>
      <c r="C9" s="1829">
        <f>B9*Print_Summary!$I$2</f>
        <v>827999.99999999988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>Cottonseed Value</v>
      </c>
      <c r="B10" s="1826">
        <f>IF(A2_Budget_Look_Up!B7=1,Budget!F4," ")</f>
        <v>179.82</v>
      </c>
      <c r="C10" s="1829">
        <f>IF(A2_Budget_Look_Up!B7=1,B10*Print_Summary!$I$2," ")</f>
        <v>179820</v>
      </c>
      <c r="D10" s="1849"/>
      <c r="E10" s="173">
        <f>IF(A2_Budget_Look_Up!B7=1,IF(A2_Budget_Look_Up!B7=1,Budget!D4*Budget!E4,0)*(1-Budget!B4)," ")</f>
        <v>0</v>
      </c>
      <c r="F10" s="1827">
        <f>IF(A2_Budget_Look_Up!B7=1,E10*Print_Summary!$I$2," ")</f>
        <v>0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22">
        <f>B13*Print_Summary!$I$2</f>
        <v>113050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-7.1250000000000142</v>
      </c>
    </row>
    <row r="14" spans="1:9" ht="13.9" x14ac:dyDescent="0.4">
      <c r="A14" s="1834" t="s">
        <v>224</v>
      </c>
      <c r="B14" s="1835">
        <f>SUM(Budget!F7:F13)</f>
        <v>165.09916666666666</v>
      </c>
      <c r="C14" s="1822">
        <f>B14*Print_Summary!$I$2</f>
        <v>165099.16666666666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74.310366666666667</v>
      </c>
    </row>
    <row r="15" spans="1:9" ht="13.9" x14ac:dyDescent="0.4">
      <c r="A15" s="1834" t="s">
        <v>494</v>
      </c>
      <c r="B15" s="1835">
        <f>SUM(Budget!F14:F18)</f>
        <v>205.32718749999998</v>
      </c>
      <c r="C15" s="1822">
        <f>B15*Print_Summary!$I$2</f>
        <v>205327.18749999997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-3.7253125000000011</v>
      </c>
    </row>
    <row r="16" spans="1:9" ht="13.9" x14ac:dyDescent="0.4">
      <c r="A16" s="1834" t="s">
        <v>225</v>
      </c>
      <c r="B16" s="1835">
        <f>SUM(Budget!F20:F23)</f>
        <v>124.5</v>
      </c>
      <c r="C16" s="1822">
        <f>B16*Print_Summary!$I$2</f>
        <v>124500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110.5</v>
      </c>
    </row>
    <row r="17" spans="1:9" ht="13.9" x14ac:dyDescent="0.4">
      <c r="A17" s="1834" t="s">
        <v>462</v>
      </c>
      <c r="B17" s="1835">
        <f>Budget!F25+Budget!F27</f>
        <v>17.131385983811342</v>
      </c>
      <c r="C17" s="1822">
        <f>B17*Print_Summary!$I$2</f>
        <v>17131.385983811342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-10.935477765085679</v>
      </c>
    </row>
    <row r="18" spans="1:9" ht="13.9" x14ac:dyDescent="0.4">
      <c r="A18" s="1834" t="s">
        <v>227</v>
      </c>
      <c r="B18" s="1835">
        <f>Budget!F29</f>
        <v>34.86698941353383</v>
      </c>
      <c r="C18" s="1822">
        <f>B18*Print_Summary!$I$2</f>
        <v>34866.989413533833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-0.28347145864662338</v>
      </c>
    </row>
    <row r="19" spans="1:9" ht="13.9" x14ac:dyDescent="0.4">
      <c r="A19" s="1834" t="s">
        <v>780</v>
      </c>
      <c r="B19" s="1835">
        <f>Budget!F31+Budget!F32</f>
        <v>35.85</v>
      </c>
      <c r="C19" s="1822">
        <f>B19*Print_Summary!$I$2</f>
        <v>35850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32.4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695.82472956401182</v>
      </c>
      <c r="C20" s="1827">
        <f>B20*Print_Summary!$I$2</f>
        <v>695824.7295640118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195.14110494293436</v>
      </c>
    </row>
    <row r="21" spans="1:9" ht="13.9" x14ac:dyDescent="0.4">
      <c r="A21" s="1834" t="s">
        <v>778</v>
      </c>
      <c r="B21" s="1835">
        <f>Budget!F34+Budget!F35</f>
        <v>13</v>
      </c>
      <c r="C21" s="1822">
        <f>B21*Print_Summary!$I$2</f>
        <v>13000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</v>
      </c>
    </row>
    <row r="22" spans="1:9" ht="13.9" x14ac:dyDescent="0.4">
      <c r="A22" s="1834" t="s">
        <v>1</v>
      </c>
      <c r="B22" s="1835">
        <f>Budget!F36</f>
        <v>28</v>
      </c>
      <c r="C22" s="1822">
        <f>B22*Print_Summary!$I$2</f>
        <v>28000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28</v>
      </c>
    </row>
    <row r="23" spans="1:9" ht="15.4" x14ac:dyDescent="0.4">
      <c r="A23" s="1834" t="s">
        <v>750</v>
      </c>
      <c r="B23" s="1835">
        <f>Budget!F26+Budget!F28+Budget!F30</f>
        <v>34.378319648678698</v>
      </c>
      <c r="C23" s="1822">
        <f>B23*Print_Summary!$I$2</f>
        <v>34378.319648678698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1.3540758446252212</v>
      </c>
    </row>
    <row r="24" spans="1:9" ht="15" customHeight="1" x14ac:dyDescent="0.4">
      <c r="A24" s="1834" t="s">
        <v>214</v>
      </c>
      <c r="B24" s="1835">
        <f>Budget!F33</f>
        <v>19.11872079042649</v>
      </c>
      <c r="C24" s="1822">
        <f>B24*Print_Summary!$I$2</f>
        <v>19118.720790426491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-4.2091250340524979</v>
      </c>
    </row>
    <row r="25" spans="1:9" ht="15" customHeight="1" x14ac:dyDescent="0.4">
      <c r="A25" s="1825" t="s">
        <v>640</v>
      </c>
      <c r="B25" s="1836">
        <f>SUM(Budget!F6:F18)+SUM(Budget!F20:F23)+SUM(Budget!F25:F36)</f>
        <v>790.32177000311697</v>
      </c>
      <c r="C25" s="1829">
        <f>B25*Print_Summary!$I$2</f>
        <v>790321.77000311692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209.28605575350707</v>
      </c>
    </row>
    <row r="26" spans="1:9" ht="13.9" x14ac:dyDescent="0.4">
      <c r="A26" s="1834" t="s">
        <v>28</v>
      </c>
      <c r="B26" s="1835">
        <f>Budget!F37</f>
        <v>32.600773012628572</v>
      </c>
      <c r="C26" s="1822">
        <f>B26*Print_Summary!$I$2</f>
        <v>32600.773012628571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18.801174799200332</v>
      </c>
    </row>
    <row r="27" spans="1:9" ht="13.9" x14ac:dyDescent="0.4">
      <c r="A27" s="1834" t="s">
        <v>228</v>
      </c>
      <c r="B27" s="1835">
        <f>SUM(Budget!F39:F43)</f>
        <v>179.82</v>
      </c>
      <c r="C27" s="1822">
        <f>B27*Print_Summary!$I$2</f>
        <v>179820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35.039999999999992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822.92254301574553</v>
      </c>
      <c r="C29" s="1829">
        <f>B29*Print_Summary!$I$2</f>
        <v>822922.54301574558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228.0872305527073</v>
      </c>
    </row>
    <row r="30" spans="1:9" ht="13.9" x14ac:dyDescent="0.4">
      <c r="A30" s="1825" t="s">
        <v>233</v>
      </c>
      <c r="B30" s="1826">
        <f>B9-B29-B31</f>
        <v>5.0774569842543542</v>
      </c>
      <c r="C30" s="1829">
        <f>B30*Print_Summary!$I$2</f>
        <v>5077.4569842543542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-180.08723055270741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213.51159530605307</v>
      </c>
      <c r="C32" s="1822">
        <f>B32*Print_Summary!$I$2</f>
        <v>213511.59530605306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34.916605367929037</v>
      </c>
    </row>
    <row r="33" spans="1:9" ht="13.9" x14ac:dyDescent="0.4">
      <c r="A33" s="1825" t="s">
        <v>650</v>
      </c>
      <c r="B33" s="1836">
        <f>B29+B32</f>
        <v>1036.4341383217986</v>
      </c>
      <c r="C33" s="1829">
        <f>B33*Print_Summary!$I$2</f>
        <v>1036434.1383217986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263.00383592063633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-208.43413832179874</v>
      </c>
      <c r="C34" s="1829">
        <f>B34*Print_Summary!$I$2</f>
        <v>-208434.13832179873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-215.00383592063645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Expenses/lb.</v>
      </c>
      <c r="B36" s="1097">
        <f>B29/B6</f>
        <v>0.68576878584645462</v>
      </c>
      <c r="C36" s="1097">
        <f>C29/C6</f>
        <v>0.68576878584645462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Expenses/lb.</v>
      </c>
      <c r="B37" s="1839">
        <f>B33/B6</f>
        <v>0.86369511526816556</v>
      </c>
      <c r="C37" s="1839">
        <f>C33/C6</f>
        <v>0.86369511526816556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-4.6318697404844164E-2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31. 2026 Cotton Enterprise Budget, B3XF, Furrow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Lbs</v>
      </c>
      <c r="D3" s="398">
        <f>A3_Production_Look_Up!B4</f>
        <v>1200</v>
      </c>
      <c r="E3" s="1258">
        <f>A3_Production_Look_Up!B5</f>
        <v>0.69</v>
      </c>
      <c r="F3" s="9">
        <f>IF('C1_Messages_Indicators'!B3=1,(D3*E3*B3),"Error")</f>
        <v>827.99999999999989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>Cottonseed Value</v>
      </c>
      <c r="B4" s="1512">
        <f>IF(A2_Budget_Look_Up!B7=1,Seed_Chemical!I5," ")</f>
        <v>1</v>
      </c>
      <c r="C4" s="8" t="str">
        <f>IF(A2_Budget_Look_Up!B7=1,'C1_Messages_Indicators'!B14," ")</f>
        <v>Ton</v>
      </c>
      <c r="D4" s="15">
        <f>IF(A2_Budget_Look_Up!B7=1,'C1_Messages_Indicators'!B15," ")</f>
        <v>0.9</v>
      </c>
      <c r="E4" s="10">
        <f>IF(AND(A2_Budget_Look_Up!B7=1,Seed_Chemical!I7=0,Seed_Chemical!I8=0,D3&gt;0),SUM(F40:F42)/D4,'C1_Messages_Indicators'!B18)</f>
        <v>199.79999999999998</v>
      </c>
      <c r="F4" s="9">
        <f>IF(A2_Budget_Look_Up!B7=1,D4*E4*B4," ")</f>
        <v>179.82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Fees; See Note 2</v>
      </c>
      <c r="B6" s="33">
        <v>1</v>
      </c>
      <c r="C6" s="14" t="str">
        <f>Seed_Chemical!C4</f>
        <v>Thous</v>
      </c>
      <c r="D6" s="552">
        <f>Seed_Chemical!E4</f>
        <v>47.5</v>
      </c>
      <c r="E6" s="10">
        <f>Seed_Chemical!D4</f>
        <v>2.38</v>
      </c>
      <c r="F6" s="9">
        <f t="shared" ref="F6:F11" si="0">D6*E6*B6</f>
        <v>113.05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275</v>
      </c>
      <c r="E7" s="10">
        <f>Fertilizer!E3</f>
        <v>0.28083333333333332</v>
      </c>
      <c r="F7" s="9">
        <f t="shared" si="0"/>
        <v>77.229166666666657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100</v>
      </c>
      <c r="E8" s="10">
        <f>Fertilizer!E4</f>
        <v>0.40500000000000003</v>
      </c>
      <c r="F8" s="9">
        <f t="shared" si="0"/>
        <v>40.5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50</v>
      </c>
      <c r="E10" s="10">
        <f>Fertilizer!E6</f>
        <v>0.26750000000000002</v>
      </c>
      <c r="F10" s="9">
        <f t="shared" si="0"/>
        <v>13.375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1</v>
      </c>
      <c r="E11" s="10">
        <f>Fertilizer!E7</f>
        <v>0.72</v>
      </c>
      <c r="F11" s="9">
        <f t="shared" si="0"/>
        <v>0.72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0.13750000000000001</v>
      </c>
      <c r="E12" s="10">
        <f>Fertilizer!E8</f>
        <v>82</v>
      </c>
      <c r="F12" s="9">
        <f>D12*E12*B12</f>
        <v>11.275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112.36137499999998</v>
      </c>
      <c r="F14" s="9">
        <f t="shared" si="1"/>
        <v>112.36137499999998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69.603125000000006</v>
      </c>
      <c r="F15" s="9">
        <f t="shared" si="1"/>
        <v>69.603125000000006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Growth Regulator</v>
      </c>
      <c r="B17" s="33">
        <v>1</v>
      </c>
      <c r="C17" s="8" t="s">
        <v>4</v>
      </c>
      <c r="D17" s="8">
        <v>1</v>
      </c>
      <c r="E17" s="10">
        <f>Seed_Chemical!F57</f>
        <v>3.7845624999999998</v>
      </c>
      <c r="F17" s="9">
        <f t="shared" si="1"/>
        <v>3.7845624999999998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Defoliant</v>
      </c>
      <c r="B18" s="33">
        <v>1</v>
      </c>
      <c r="C18" s="8" t="s">
        <v>4</v>
      </c>
      <c r="D18" s="8">
        <v>1</v>
      </c>
      <c r="E18" s="10">
        <f>Seed_Chemical!F68</f>
        <v>19.578125</v>
      </c>
      <c r="F18" s="9">
        <f t="shared" si="1"/>
        <v>19.578125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11</v>
      </c>
      <c r="E20" s="2">
        <v>9.5</v>
      </c>
      <c r="F20" s="9">
        <f>D20*E20*B20</f>
        <v>104.5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3.5028576338657014</v>
      </c>
      <c r="E25" s="18">
        <f>Irrigation!B14</f>
        <v>2.46</v>
      </c>
      <c r="F25" s="9">
        <f t="shared" ref="F25:F36" si="2">D25*E25*B25</f>
        <v>8.6170297793096253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7.7400220950298984</v>
      </c>
      <c r="F26" s="9">
        <f t="shared" si="2"/>
        <v>7.7400220950298984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3.4611204083340312</v>
      </c>
      <c r="E27" s="18">
        <f>Irrigation!B14</f>
        <v>2.46</v>
      </c>
      <c r="F27" s="9">
        <f t="shared" si="2"/>
        <v>8.5143562045017163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22.118922553648794</v>
      </c>
      <c r="F28" s="9">
        <f t="shared" si="2"/>
        <v>22.118922553648794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2.9055824511278194</v>
      </c>
      <c r="F29" s="9">
        <f t="shared" si="2"/>
        <v>34.86698941353383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0.37661458333333336</v>
      </c>
      <c r="F30" s="9">
        <f>D30*E30</f>
        <v>4.5193750000000001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16.25</v>
      </c>
      <c r="F31" s="9">
        <f t="shared" si="2"/>
        <v>16.25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Round Module Cover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19.600000000000001</v>
      </c>
      <c r="F32" s="9">
        <f t="shared" si="2"/>
        <v>19.600000000000001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1.2891922313166884</v>
      </c>
      <c r="E33" s="316">
        <v>14.83</v>
      </c>
      <c r="F33" s="9">
        <f t="shared" si="2"/>
        <v>19.11872079042649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Boll Weevil Eradication Fee; See Note 3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3</v>
      </c>
      <c r="F35" s="9">
        <f t="shared" si="2"/>
        <v>3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28</v>
      </c>
      <c r="F36" s="9">
        <f t="shared" si="2"/>
        <v>28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790.32177000311685</v>
      </c>
      <c r="F37" s="9">
        <f>((D37/100)*Program_Variables!D34)*SUM(F6:F36)*B37</f>
        <v>32.600773012628572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Expenses; See Note 4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Hauling, Ginning</v>
      </c>
      <c r="B40" s="33">
        <v>1</v>
      </c>
      <c r="C40" s="8" t="str">
        <f>IF(A2_Budget_Look_Up!B7=1,"Lbs",'C1_Messages_Indicators'!B25)</f>
        <v>Lbs</v>
      </c>
      <c r="D40" s="10">
        <f>IF(A2_Budget_Look_Up!B13&lt;1,Program_Variables!E40,D3*B40)</f>
        <v>1200</v>
      </c>
      <c r="E40" s="2">
        <f>A3_Production_Look_Up!B37</f>
        <v>0.1</v>
      </c>
      <c r="F40" s="9">
        <f>D40*E40*B40</f>
        <v>120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Storage and Warehousing</v>
      </c>
      <c r="B41" s="33">
        <v>1</v>
      </c>
      <c r="C41" s="8" t="str">
        <f>IF(A2_Budget_Look_Up!B7=1,"Bale",'C1_Messages_Indicators'!I25)</f>
        <v>Bale</v>
      </c>
      <c r="D41" s="15">
        <f>IF(A2_Budget_Look_Up!B7=1,D40/Program_Variables!C36,'C1_Messages_Indicators'!B30)</f>
        <v>2.4</v>
      </c>
      <c r="E41" s="2">
        <f>A3_Production_Look_Up!B38</f>
        <v>20</v>
      </c>
      <c r="F41" s="9">
        <f>D41*E41*B41</f>
        <v>48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Promotions, Boards, Classing</v>
      </c>
      <c r="B42" s="33">
        <v>1</v>
      </c>
      <c r="C42" s="8" t="str">
        <f>IF(A2_Budget_Look_Up!B7=1,"Bale",'C1_Messages_Indicators'!I26)</f>
        <v>Bale</v>
      </c>
      <c r="D42" s="15">
        <f>IF(AND(A2_Budget_Look_Up!B13&lt;1,A2_Budget_Look_Up!B14&lt;1),'C1_Messages_Indicators'!B24,'C1_Messages_Indicators'!B31)</f>
        <v>2.4</v>
      </c>
      <c r="E42" s="1963">
        <f>A3_Production_Look_Up!B39</f>
        <v>4.9249999999999998</v>
      </c>
      <c r="F42" s="9">
        <f>D42*E42*B42</f>
        <v>11.819999999999999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822.92254301574553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5.0774569842543542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167.00534401546685</v>
      </c>
      <c r="F48" s="9">
        <f>D48*E48</f>
        <v>167.00534401546685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38.155984089812883</v>
      </c>
      <c r="F49" s="9">
        <f>D49*E49</f>
        <v>38.155984089812883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>Farm Overhead; See Note 5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8.3502672007733434</v>
      </c>
      <c r="F50" s="9">
        <f>D50*E50</f>
        <v>8.3502672007733434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213.51159530605307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1036.4341383217986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-208.43413832179874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Technology fees vary by geographical location.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>Note 3: Boll weevil eradication fee is $3 in Arkansas.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>Note 4: Cottonseed value deducted from post-harvest expenses for calculating operating expenses.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>Note 5: Estimate based on machinery and equipment.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275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100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275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50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1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0.13750000000000001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126.5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2.38</v>
      </c>
      <c r="E4" s="1586">
        <f>A3_Production_Look_Up!B45</f>
        <v>47.5</v>
      </c>
      <c r="F4" s="1587">
        <f>D4*E4</f>
        <v>113.05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47.5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113.05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Brake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25.5</v>
      </c>
      <c r="E14" s="1586">
        <f>IF(A5_Chem_Look_Up!$F8&gt;0,A5_Chem_Look_Up!E8,0)</f>
        <v>1</v>
      </c>
      <c r="F14" s="1587">
        <f t="shared" si="0"/>
        <v>25.5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Cotoran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2.5</v>
      </c>
      <c r="E15" s="1586">
        <f>IF(A5_Chem_Look_Up!$F9&gt;0,A5_Chem_Look_Up!E9,0)</f>
        <v>1.6</v>
      </c>
      <c r="F15" s="1587">
        <f t="shared" si="0"/>
        <v>4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Outlook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0.84234374999999995</v>
      </c>
      <c r="E17" s="1586">
        <f>IF(A5_Chem_Look_Up!$F11&gt;0,A5_Chem_Look_Up!E11,0)</f>
        <v>12.8</v>
      </c>
      <c r="F17" s="1587">
        <f t="shared" si="0"/>
        <v>10.782</v>
      </c>
      <c r="G17" s="20"/>
    </row>
    <row r="18" spans="1:10" ht="12.95" customHeight="1" x14ac:dyDescent="0.35">
      <c r="A18" s="1601" t="str">
        <f>IF(A5_Chem_Look_Up!$F12&gt;0,A5_Chem_Look_Up!A12," ")</f>
        <v>Liberty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0.28875000000000001</v>
      </c>
      <c r="E18" s="1586">
        <f>IF(A5_Chem_Look_Up!$F12&gt;0,A5_Chem_Look_Up!E12,0)</f>
        <v>32</v>
      </c>
      <c r="F18" s="1587">
        <f t="shared" si="0"/>
        <v>9.24</v>
      </c>
      <c r="G18" s="20"/>
      <c r="H18" s="989"/>
    </row>
    <row r="19" spans="1:10" ht="12.95" customHeight="1" x14ac:dyDescent="0.35">
      <c r="A19" s="1601" t="str">
        <f>IF(A5_Chem_Look_Up!$F13&gt;0,A5_Chem_Look_Up!A13," ")</f>
        <v>Metolachlor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5.0387500000000003</v>
      </c>
      <c r="E19" s="1586">
        <f>IF(A5_Chem_Look_Up!$F13&gt;0,A5_Chem_Look_Up!E13,0)</f>
        <v>1</v>
      </c>
      <c r="F19" s="1587">
        <f t="shared" si="0"/>
        <v>5.0387500000000003</v>
      </c>
      <c r="G19" s="20"/>
      <c r="H19" s="989"/>
    </row>
    <row r="20" spans="1:10" ht="12.95" customHeight="1" x14ac:dyDescent="0.35">
      <c r="A20" s="1601" t="str">
        <f>IF(A5_Chem_Look_Up!$F14&gt;0,A5_Chem_Look_Up!A14," ")</f>
        <v>Liberty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0.28875000000000001</v>
      </c>
      <c r="E20" s="1586">
        <f>IF(A5_Chem_Look_Up!$F14&gt;0,A5_Chem_Look_Up!E14,0)</f>
        <v>32</v>
      </c>
      <c r="F20" s="1587">
        <f t="shared" si="0"/>
        <v>9.24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>Direx</v>
      </c>
      <c r="B21" s="1602" t="str">
        <f>IF(A5_Chem_Look_Up!$F15&gt;0,A5_Chem_Look_Up!B15," ")</f>
        <v/>
      </c>
      <c r="C21" s="1603" t="str">
        <f>IF(A5_Chem_Look_Up!$F15&gt;0,A5_Chem_Look_Up!C15," ")</f>
        <v>pt</v>
      </c>
      <c r="D21" s="1601">
        <f>IF(A5_Chem_Look_Up!$F15&gt;0,A5_Chem_Look_Up!D15,0)</f>
        <v>4.4637500000000001</v>
      </c>
      <c r="E21" s="1586">
        <f>IF(A5_Chem_Look_Up!$F15&gt;0,A5_Chem_Look_Up!E15,0)</f>
        <v>1.5</v>
      </c>
      <c r="F21" s="1587">
        <f t="shared" si="0"/>
        <v>6.6956249999999997</v>
      </c>
      <c r="G21" s="20"/>
    </row>
    <row r="22" spans="1:10" ht="12.95" customHeight="1" x14ac:dyDescent="0.35">
      <c r="A22" s="1601" t="str">
        <f>IF(A5_Chem_Look_Up!$F16&gt;0,A5_Chem_Look_Up!A16," ")</f>
        <v>MSMA 6</v>
      </c>
      <c r="B22" s="1602" t="str">
        <f>IF(A5_Chem_Look_Up!$F16&gt;0,A5_Chem_Look_Up!B16," ")</f>
        <v/>
      </c>
      <c r="C22" s="1603" t="str">
        <f>IF(A5_Chem_Look_Up!$F16&gt;0,A5_Chem_Look_Up!C16," ")</f>
        <v>qt</v>
      </c>
      <c r="D22" s="1601">
        <f>IF(A5_Chem_Look_Up!$F16&gt;0,A5_Chem_Look_Up!D16,0)</f>
        <v>14.375</v>
      </c>
      <c r="E22" s="1586">
        <f>IF(A5_Chem_Look_Up!$F16&gt;0,A5_Chem_Look_Up!E16,0)</f>
        <v>1.5</v>
      </c>
      <c r="F22" s="1587">
        <f t="shared" si="0"/>
        <v>21.5625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112.36137499999998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Centric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5.95</v>
      </c>
      <c r="E30" s="1586">
        <f>IF(A5_Chem_Look_Up!$F24&gt;0,A5_Chem_Look_Up!E24,0)</f>
        <v>2</v>
      </c>
      <c r="F30" s="1587">
        <f t="shared" ref="F30:F39" si="1">D30*E30</f>
        <v>11.9</v>
      </c>
      <c r="G30" s="20"/>
    </row>
    <row r="31" spans="1:10" ht="12.95" customHeight="1" x14ac:dyDescent="0.35">
      <c r="A31" s="1601" t="str">
        <f>IF(A5_Chem_Look_Up!$F25&gt;0,A5_Chem_Look_Up!A25," ")</f>
        <v>Diamond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1.1971354166666666</v>
      </c>
      <c r="E31" s="1586">
        <f>IF(A5_Chem_Look_Up!$F25&gt;0,A5_Chem_Look_Up!E25,0)</f>
        <v>6</v>
      </c>
      <c r="F31" s="1587">
        <f t="shared" si="1"/>
        <v>7.1828124999999989</v>
      </c>
      <c r="G31" s="20"/>
    </row>
    <row r="32" spans="1:10" ht="12.95" customHeight="1" x14ac:dyDescent="0.35">
      <c r="A32" s="1601" t="str">
        <f>IF(A5_Chem_Look_Up!$F26&gt;0,A5_Chem_Look_Up!A26," ")</f>
        <v>Centric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5.95</v>
      </c>
      <c r="E32" s="1586">
        <f>IF(A5_Chem_Look_Up!$F26&gt;0,A5_Chem_Look_Up!E26,0)</f>
        <v>2</v>
      </c>
      <c r="F32" s="1587">
        <f t="shared" si="1"/>
        <v>11.9</v>
      </c>
      <c r="G32" s="20"/>
    </row>
    <row r="33" spans="1:7" ht="12.95" customHeight="1" x14ac:dyDescent="0.35">
      <c r="A33" s="1601" t="str">
        <f>IF(A5_Chem_Look_Up!$F27&gt;0,A5_Chem_Look_Up!A27," ")</f>
        <v>Diamond</v>
      </c>
      <c r="B33" s="1602" t="str">
        <f>IF(A5_Chem_Look_Up!$F27&gt;0,A5_Chem_Look_Up!B27," ")</f>
        <v/>
      </c>
      <c r="C33" s="1603" t="str">
        <f>IF(A5_Chem_Look_Up!$F27&gt;0,A5_Chem_Look_Up!C27," ")</f>
        <v>oz</v>
      </c>
      <c r="D33" s="1601">
        <f>IF(A5_Chem_Look_Up!$F27&gt;0,A5_Chem_Look_Up!D27,0)</f>
        <v>1.1971354166666666</v>
      </c>
      <c r="E33" s="1586">
        <f>IF(A5_Chem_Look_Up!$F27&gt;0,A5_Chem_Look_Up!E27,0)</f>
        <v>6</v>
      </c>
      <c r="F33" s="1587">
        <f t="shared" si="1"/>
        <v>7.1828124999999989</v>
      </c>
      <c r="G33" s="20"/>
    </row>
    <row r="34" spans="1:7" ht="12.95" customHeight="1" x14ac:dyDescent="0.35">
      <c r="A34" s="1601" t="str">
        <f>IF(A5_Chem_Look_Up!$F28&gt;0,A5_Chem_Look_Up!A28," ")</f>
        <v>Transform</v>
      </c>
      <c r="B34" s="1602" t="str">
        <f>IF(A5_Chem_Look_Up!$F28&gt;0,A5_Chem_Look_Up!B28," ")</f>
        <v/>
      </c>
      <c r="C34" s="1603" t="str">
        <f>IF(A5_Chem_Look_Up!$F28&gt;0,A5_Chem_Look_Up!C28," ")</f>
        <v>oz</v>
      </c>
      <c r="D34" s="1601">
        <f>IF(A5_Chem_Look_Up!$F28&gt;0,A5_Chem_Look_Up!D28,0)</f>
        <v>7.859375</v>
      </c>
      <c r="E34" s="1586">
        <f>IF(A5_Chem_Look_Up!$F28&gt;0,A5_Chem_Look_Up!E28,0)</f>
        <v>2</v>
      </c>
      <c r="F34" s="1587">
        <f t="shared" si="1"/>
        <v>15.71875</v>
      </c>
      <c r="G34" s="20"/>
    </row>
    <row r="35" spans="1:7" ht="12.95" customHeight="1" x14ac:dyDescent="0.35">
      <c r="A35" s="1601" t="str">
        <f>IF(A5_Chem_Look_Up!$F29&gt;0,A5_Chem_Look_Up!A29," ")</f>
        <v>Transform</v>
      </c>
      <c r="B35" s="1602" t="str">
        <f>IF(A5_Chem_Look_Up!$F29&gt;0,A5_Chem_Look_Up!B29," ")</f>
        <v/>
      </c>
      <c r="C35" s="1603" t="str">
        <f>IF(A5_Chem_Look_Up!$F29&gt;0,A5_Chem_Look_Up!C29," ")</f>
        <v>oz</v>
      </c>
      <c r="D35" s="1601">
        <f>IF(A5_Chem_Look_Up!$F29&gt;0,A5_Chem_Look_Up!D29,0)</f>
        <v>7.859375</v>
      </c>
      <c r="E35" s="1586">
        <f>IF(A5_Chem_Look_Up!$F29&gt;0,A5_Chem_Look_Up!E29,0)</f>
        <v>2</v>
      </c>
      <c r="F35" s="1587">
        <f t="shared" si="1"/>
        <v>15.71875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69.603125000000006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Growth Regulator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Mepiquat</v>
      </c>
      <c r="B50" s="1602" t="str">
        <f>IF(A5_Chem_Look_Up!$F44&gt;0,A5_Chem_Look_Up!B44," ")</f>
        <v/>
      </c>
      <c r="C50" s="1605" t="str">
        <f>IF(A5_Chem_Look_Up!$F44&gt;0,A5_Chem_Look_Up!C44," ")</f>
        <v>oz</v>
      </c>
      <c r="D50" s="1601">
        <f>IF(A5_Chem_Look_Up!$F44&gt;0,A5_Chem_Look_Up!D44,0)</f>
        <v>4.9796874999999997E-2</v>
      </c>
      <c r="E50" s="1586">
        <f>IF(A5_Chem_Look_Up!$F44&gt;0,A5_Chem_Look_Up!E44,0)</f>
        <v>16</v>
      </c>
      <c r="F50" s="1587">
        <f t="shared" ref="F50:F56" si="2">D50*E50</f>
        <v>0.79674999999999996</v>
      </c>
      <c r="G50" s="20"/>
    </row>
    <row r="51" spans="1:7" ht="12.95" customHeight="1" x14ac:dyDescent="0.35">
      <c r="A51" s="1584" t="str">
        <f>IF(A5_Chem_Look_Up!$F45&gt;0,A5_Chem_Look_Up!A45," ")</f>
        <v>Mepiquat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4.9796874999999997E-2</v>
      </c>
      <c r="E51" s="1586">
        <f>IF(A5_Chem_Look_Up!$F45&gt;0,A5_Chem_Look_Up!E45,0)</f>
        <v>20</v>
      </c>
      <c r="F51" s="1587">
        <f t="shared" si="2"/>
        <v>0.99593749999999992</v>
      </c>
      <c r="G51" s="20"/>
    </row>
    <row r="52" spans="1:7" ht="12.95" customHeight="1" x14ac:dyDescent="0.35">
      <c r="A52" s="1584" t="str">
        <f>IF(A5_Chem_Look_Up!$F46&gt;0,A5_Chem_Look_Up!A46," ")</f>
        <v>Mepiquat</v>
      </c>
      <c r="B52" s="1602" t="str">
        <f>IF(A5_Chem_Look_Up!$F46&gt;0,A5_Chem_Look_Up!B46," ")</f>
        <v/>
      </c>
      <c r="C52" s="1605" t="str">
        <f>IF(A5_Chem_Look_Up!$F46&gt;0,A5_Chem_Look_Up!C46," ")</f>
        <v>oz</v>
      </c>
      <c r="D52" s="1601">
        <f>IF(A5_Chem_Look_Up!$F46&gt;0,A5_Chem_Look_Up!D46,0)</f>
        <v>4.9796874999999997E-2</v>
      </c>
      <c r="E52" s="1586">
        <f>IF(A5_Chem_Look_Up!$F46&gt;0,A5_Chem_Look_Up!E46,0)</f>
        <v>20</v>
      </c>
      <c r="F52" s="1587">
        <f t="shared" si="2"/>
        <v>0.99593749999999992</v>
      </c>
      <c r="G52" s="20"/>
    </row>
    <row r="53" spans="1:7" ht="12.95" customHeight="1" x14ac:dyDescent="0.35">
      <c r="A53" s="1584" t="str">
        <f>IF(A5_Chem_Look_Up!$F47&gt;0,A5_Chem_Look_Up!A47," ")</f>
        <v>Mepiquat</v>
      </c>
      <c r="B53" s="1602" t="str">
        <f>IF(A5_Chem_Look_Up!$F47&gt;0,A5_Chem_Look_Up!B47," ")</f>
        <v/>
      </c>
      <c r="C53" s="1605" t="str">
        <f>IF(A5_Chem_Look_Up!$F47&gt;0,A5_Chem_Look_Up!C47," ")</f>
        <v>oz</v>
      </c>
      <c r="D53" s="1601">
        <f>IF(A5_Chem_Look_Up!$F47&gt;0,A5_Chem_Look_Up!D47,0)</f>
        <v>4.9796874999999997E-2</v>
      </c>
      <c r="E53" s="1586">
        <f>IF(A5_Chem_Look_Up!$F47&gt;0,A5_Chem_Look_Up!E47,0)</f>
        <v>20</v>
      </c>
      <c r="F53" s="1587">
        <f t="shared" si="2"/>
        <v>0.99593749999999992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3.7845624999999998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Defoliant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Dropp</v>
      </c>
      <c r="B61" s="1602" t="str">
        <f>IF(A5_Chem_Look_Up!$F55&gt;0,A5_Chem_Look_Up!B55," ")</f>
        <v/>
      </c>
      <c r="C61" s="1605" t="str">
        <f>IF(A5_Chem_Look_Up!$F55&gt;0,A5_Chem_Look_Up!C55," ")</f>
        <v>oz</v>
      </c>
      <c r="D61" s="1601">
        <f>IF(A5_Chem_Look_Up!$F55&gt;0,A5_Chem_Look_Up!D55,0)</f>
        <v>0.78125</v>
      </c>
      <c r="E61" s="1586">
        <f>IF(A5_Chem_Look_Up!$F55&gt;0,A5_Chem_Look_Up!E55,0)</f>
        <v>2</v>
      </c>
      <c r="F61" s="1587">
        <f t="shared" ref="F61:F67" si="3">D61*E61</f>
        <v>1.5625</v>
      </c>
      <c r="G61" s="20"/>
    </row>
    <row r="62" spans="1:7" ht="12.95" customHeight="1" x14ac:dyDescent="0.35">
      <c r="A62" s="1584" t="str">
        <f>IF(A5_Chem_Look_Up!$F56&gt;0,A5_Chem_Look_Up!A56," ")</f>
        <v>Folex</v>
      </c>
      <c r="B62" s="1602" t="str">
        <f>IF(A5_Chem_Look_Up!$F56&gt;0,A5_Chem_Look_Up!B56," ")</f>
        <v/>
      </c>
      <c r="C62" s="1605" t="str">
        <f>IF(A5_Chem_Look_Up!$F56&gt;0,A5_Chem_Look_Up!C56," ")</f>
        <v>oz</v>
      </c>
      <c r="D62" s="1601">
        <f>IF(A5_Chem_Look_Up!$F56&gt;0,A5_Chem_Look_Up!D56,0)</f>
        <v>0.5234375</v>
      </c>
      <c r="E62" s="1586">
        <f>IF(A5_Chem_Look_Up!$F56&gt;0,A5_Chem_Look_Up!E56,0)</f>
        <v>6</v>
      </c>
      <c r="F62" s="1587">
        <f t="shared" si="3"/>
        <v>3.140625</v>
      </c>
      <c r="G62" s="20"/>
    </row>
    <row r="63" spans="1:7" ht="12.95" customHeight="1" x14ac:dyDescent="0.35">
      <c r="A63" s="1584" t="str">
        <f>IF(A5_Chem_Look_Up!$F57&gt;0,A5_Chem_Look_Up!A57," ")</f>
        <v>Prep</v>
      </c>
      <c r="B63" s="1602" t="str">
        <f>IF(A5_Chem_Look_Up!$F57&gt;0,A5_Chem_Look_Up!B57," ")</f>
        <v/>
      </c>
      <c r="C63" s="1605" t="str">
        <f>IF(A5_Chem_Look_Up!$F57&gt;0,A5_Chem_Look_Up!C57," ")</f>
        <v>oz</v>
      </c>
      <c r="D63" s="1601">
        <f>IF(A5_Chem_Look_Up!$F57&gt;0,A5_Chem_Look_Up!D57,0)</f>
        <v>0.28125</v>
      </c>
      <c r="E63" s="1586">
        <f>IF(A5_Chem_Look_Up!$F57&gt;0,A5_Chem_Look_Up!E57,0)</f>
        <v>6</v>
      </c>
      <c r="F63" s="1587">
        <f t="shared" si="3"/>
        <v>1.6875</v>
      </c>
      <c r="G63" s="20"/>
    </row>
    <row r="64" spans="1:7" ht="12.95" customHeight="1" x14ac:dyDescent="0.35">
      <c r="A64" s="1584" t="str">
        <f>IF(A5_Chem_Look_Up!$F58&gt;0,A5_Chem_Look_Up!A58," ")</f>
        <v>Folex</v>
      </c>
      <c r="B64" s="1602" t="str">
        <f>IF(A5_Chem_Look_Up!$F58&gt;0,A5_Chem_Look_Up!B58," ")</f>
        <v/>
      </c>
      <c r="C64" s="1605" t="str">
        <f>IF(A5_Chem_Look_Up!$F58&gt;0,A5_Chem_Look_Up!C58," ")</f>
        <v>oz</v>
      </c>
      <c r="D64" s="1601">
        <f>IF(A5_Chem_Look_Up!$F58&gt;0,A5_Chem_Look_Up!D58,0)</f>
        <v>0.5234375</v>
      </c>
      <c r="E64" s="1586">
        <f>IF(A5_Chem_Look_Up!$F58&gt;0,A5_Chem_Look_Up!E58,0)</f>
        <v>8</v>
      </c>
      <c r="F64" s="1587">
        <f t="shared" si="3"/>
        <v>4.1875</v>
      </c>
      <c r="G64" s="20"/>
    </row>
    <row r="65" spans="1:7" ht="12.95" customHeight="1" x14ac:dyDescent="0.35">
      <c r="A65" s="1584" t="str">
        <f>IF(A5_Chem_Look_Up!$F59&gt;0,A5_Chem_Look_Up!A59," ")</f>
        <v>Prep</v>
      </c>
      <c r="B65" s="1602" t="str">
        <f>IF(A5_Chem_Look_Up!$F59&gt;0,A5_Chem_Look_Up!B59," ")</f>
        <v/>
      </c>
      <c r="C65" s="1605" t="str">
        <f>IF(A5_Chem_Look_Up!$F59&gt;0,A5_Chem_Look_Up!C59," ")</f>
        <v>oz</v>
      </c>
      <c r="D65" s="1601">
        <f>IF(A5_Chem_Look_Up!$F59&gt;0,A5_Chem_Look_Up!D59,0)</f>
        <v>0.28125</v>
      </c>
      <c r="E65" s="1586">
        <f>IF(A5_Chem_Look_Up!$F59&gt;0,A5_Chem_Look_Up!E59,0)</f>
        <v>32</v>
      </c>
      <c r="F65" s="1587">
        <f t="shared" si="3"/>
        <v>9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19.578125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14.731992314724318</v>
      </c>
      <c r="L6" s="1517">
        <f>IF(AND(Budget!$B$3=1,Budget!$E$44=0),1,0)</f>
        <v>1</v>
      </c>
      <c r="M6" s="560">
        <v>1</v>
      </c>
      <c r="N6" s="869">
        <f>'C2_Irrigation_Calculations'!K6*Budget!D$30</f>
        <v>2.375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13.30143832416293</v>
      </c>
      <c r="L7" s="1517">
        <v>1</v>
      </c>
      <c r="M7" s="560">
        <v>1</v>
      </c>
      <c r="N7" s="869">
        <f>'C2_Irrigation_Calculations'!K7*Budget!D$30</f>
        <v>2.1443750000000001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37.619890339812883</v>
      </c>
      <c r="L10" s="1384"/>
      <c r="M10" s="1329" t="s">
        <v>766</v>
      </c>
      <c r="N10" s="870">
        <f>SUM(N4:N9)</f>
        <v>4.5193750000000001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6104.957454370061</v>
      </c>
      <c r="F38" s="926">
        <f>(SUM(Trips!B30:B31)+SUM(Trips!B33:B37))*IF(B2=2,I15,I14)</f>
        <v>765.84427170091112</v>
      </c>
      <c r="G38" s="927">
        <f t="shared" ref="G38:G43" si="0">SUM(E38:F38)</f>
        <v>6870.8017260709721</v>
      </c>
    </row>
    <row r="39" spans="4:7" ht="13.9" x14ac:dyDescent="0.4">
      <c r="D39" s="863" t="s">
        <v>243</v>
      </c>
      <c r="E39" s="926">
        <f>Trips!C76*IF(B2=2,I15,I14)</f>
        <v>723.1</v>
      </c>
      <c r="F39" s="926">
        <f>(SUM(Trips!C30:C31)+SUM(Trips!C33:C37))*IF(B2=2,I15,I14)</f>
        <v>38.547106568044192</v>
      </c>
      <c r="G39" s="927">
        <f t="shared" si="0"/>
        <v>761.64710656804425</v>
      </c>
    </row>
    <row r="40" spans="4:7" ht="13.9" x14ac:dyDescent="0.4">
      <c r="D40" s="863" t="s">
        <v>615</v>
      </c>
      <c r="E40" s="926">
        <f>Trips!D76*IF(B2=2,I15,I14)</f>
        <v>5578.7183061654123</v>
      </c>
      <c r="F40" s="926">
        <f>(SUM(Trips!D30:D31)+SUM(Trips!D33:D37))*IF(B2=2,I15,I14)</f>
        <v>151.32597079303432</v>
      </c>
      <c r="G40" s="927">
        <f t="shared" si="0"/>
        <v>5730.044276958447</v>
      </c>
    </row>
    <row r="41" spans="4:7" ht="13.9" x14ac:dyDescent="0.4">
      <c r="D41" s="863" t="s">
        <v>55</v>
      </c>
      <c r="E41" s="926">
        <f>Trips!E76*IF(B2=2,I15,I14)</f>
        <v>93.962879999999984</v>
      </c>
      <c r="F41" s="926">
        <f>(SUM(Trips!E30:E31)+SUM(Trips!E33:E37))*IF(B2=2,I15,I14)</f>
        <v>369.64376191560456</v>
      </c>
      <c r="G41" s="927">
        <f t="shared" si="0"/>
        <v>463.60664191560454</v>
      </c>
    </row>
    <row r="42" spans="4:7" ht="13.9" x14ac:dyDescent="0.4">
      <c r="D42" s="863" t="s">
        <v>625</v>
      </c>
      <c r="E42" s="926">
        <f>Budget!F31*IF(Irrigation!B2=2,Irrigation!I15,Irrigation!I14)</f>
        <v>2600</v>
      </c>
      <c r="F42" s="926">
        <v>0</v>
      </c>
      <c r="G42" s="927">
        <f t="shared" si="0"/>
        <v>2600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38.292213585045559</v>
      </c>
      <c r="G43" s="927">
        <f t="shared" si="0"/>
        <v>38.292213585045559</v>
      </c>
    </row>
    <row r="44" spans="4:7" ht="13.9" thickBot="1" x14ac:dyDescent="0.4">
      <c r="D44" s="504" t="s">
        <v>22</v>
      </c>
      <c r="E44" s="928">
        <f>SUM(E38:E43)</f>
        <v>15100.738640535474</v>
      </c>
      <c r="F44" s="928">
        <f>SUM(F38:F43)</f>
        <v>1363.6533245626399</v>
      </c>
      <c r="G44" s="929">
        <f>SUM(G38:G43)</f>
        <v>16464.391965098115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38.155984089812883</v>
      </c>
      <c r="F48" s="82">
        <f t="shared" si="1"/>
        <v>4.7865266981306949</v>
      </c>
      <c r="G48" s="934">
        <f t="shared" si="1"/>
        <v>42.942510787943576</v>
      </c>
    </row>
    <row r="49" spans="4:7" ht="13.9" x14ac:dyDescent="0.4">
      <c r="D49" s="863" t="s">
        <v>243</v>
      </c>
      <c r="E49" s="82">
        <f t="shared" si="1"/>
        <v>4.5193750000000001</v>
      </c>
      <c r="F49" s="82">
        <f t="shared" si="1"/>
        <v>0.2409194160502762</v>
      </c>
      <c r="G49" s="934">
        <f t="shared" si="1"/>
        <v>4.7602944160502769</v>
      </c>
    </row>
    <row r="50" spans="4:7" ht="13.9" x14ac:dyDescent="0.4">
      <c r="D50" s="863" t="s">
        <v>615</v>
      </c>
      <c r="E50" s="82">
        <f t="shared" si="1"/>
        <v>34.86698941353383</v>
      </c>
      <c r="F50" s="82">
        <f t="shared" si="1"/>
        <v>0.94578731745646449</v>
      </c>
      <c r="G50" s="934">
        <f t="shared" si="1"/>
        <v>35.812776730990294</v>
      </c>
    </row>
    <row r="51" spans="4:7" ht="13.9" x14ac:dyDescent="0.4">
      <c r="D51" s="863" t="s">
        <v>55</v>
      </c>
      <c r="E51" s="82">
        <f t="shared" si="1"/>
        <v>0.5872679999999999</v>
      </c>
      <c r="F51" s="82">
        <f t="shared" si="1"/>
        <v>2.3102735119725284</v>
      </c>
      <c r="G51" s="934">
        <f t="shared" si="1"/>
        <v>2.8975415119725283</v>
      </c>
    </row>
    <row r="52" spans="4:7" ht="13.9" x14ac:dyDescent="0.4">
      <c r="D52" s="863" t="s">
        <v>625</v>
      </c>
      <c r="E52" s="82">
        <f t="shared" si="1"/>
        <v>16.25</v>
      </c>
      <c r="F52" s="82">
        <f t="shared" si="1"/>
        <v>0</v>
      </c>
      <c r="G52" s="934">
        <f t="shared" si="1"/>
        <v>16.25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0.23932633490653474</v>
      </c>
      <c r="G53" s="934">
        <f t="shared" si="1"/>
        <v>0.23932633490653474</v>
      </c>
    </row>
    <row r="54" spans="4:7" ht="13.9" thickBot="1" x14ac:dyDescent="0.4">
      <c r="D54" s="504" t="s">
        <v>22</v>
      </c>
      <c r="E54" s="864">
        <f t="shared" si="1"/>
        <v>94.37961650334671</v>
      </c>
      <c r="F54" s="864">
        <f t="shared" si="1"/>
        <v>8.5228332785164991</v>
      </c>
      <c r="G54" s="870">
        <f t="shared" si="1"/>
        <v>102.90244978186323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508.74645453083843</v>
      </c>
      <c r="F58" s="82">
        <f>IF(Budget!$D$29&gt;0,F38/Budget!$D$29,)</f>
        <v>63.820355975075927</v>
      </c>
      <c r="G58" s="934">
        <f>IF(Budget!$D$29&gt;0,G38/Budget!$D$29,)</f>
        <v>572.5668105059143</v>
      </c>
    </row>
    <row r="59" spans="4:7" ht="13.9" x14ac:dyDescent="0.4">
      <c r="D59" s="863" t="s">
        <v>243</v>
      </c>
      <c r="E59" s="82">
        <f>IF(Budget!$D$29&gt;0,E39/Budget!$D$29,)</f>
        <v>60.258333333333333</v>
      </c>
      <c r="F59" s="82">
        <f>IF(Budget!$D$29&gt;0,F39/Budget!$D$29,)</f>
        <v>3.2122588806703494</v>
      </c>
      <c r="G59" s="934">
        <f>IF(Budget!$D$29&gt;0,G39/Budget!$D$29,)</f>
        <v>63.470592214003688</v>
      </c>
    </row>
    <row r="60" spans="4:7" ht="13.9" x14ac:dyDescent="0.4">
      <c r="D60" s="863" t="s">
        <v>615</v>
      </c>
      <c r="E60" s="82">
        <f>IF(Budget!$D$29&gt;0,E40/Budget!$D$29,)</f>
        <v>464.89319218045102</v>
      </c>
      <c r="F60" s="82">
        <f>IF(Budget!$D$29&gt;0,F40/Budget!$D$29,)</f>
        <v>12.610497566086194</v>
      </c>
      <c r="G60" s="934">
        <f>IF(Budget!$D$29&gt;0,G40/Budget!$D$29,)</f>
        <v>477.50368974653725</v>
      </c>
    </row>
    <row r="61" spans="4:7" ht="13.9" x14ac:dyDescent="0.4">
      <c r="D61" s="863" t="s">
        <v>55</v>
      </c>
      <c r="E61" s="82">
        <f>IF(Budget!$D$29&gt;0,E41/Budget!$D$29,)</f>
        <v>7.830239999999999</v>
      </c>
      <c r="F61" s="82">
        <f>IF(Budget!$D$29&gt;0,F41/Budget!$D$29,)</f>
        <v>30.80364682630038</v>
      </c>
      <c r="G61" s="934">
        <f>IF(Budget!$D$29&gt;0,G41/Budget!$D$29,)</f>
        <v>38.633886826300376</v>
      </c>
    </row>
    <row r="62" spans="4:7" ht="13.9" x14ac:dyDescent="0.4">
      <c r="D62" s="863" t="s">
        <v>625</v>
      </c>
      <c r="E62" s="82">
        <f>IF(Budget!$D$29&gt;0,E42/Budget!$D$29,)</f>
        <v>216.66666666666666</v>
      </c>
      <c r="F62" s="82">
        <f>IF(Budget!$D$29&gt;0,F42/Budget!$D$29,)</f>
        <v>0</v>
      </c>
      <c r="G62" s="934">
        <f>IF(Budget!$D$29&gt;0,G42/Budget!$D$29,)</f>
        <v>216.66666666666666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3.1910177987537964</v>
      </c>
      <c r="G63" s="934">
        <f>IF(Budget!$D$29&gt;0,G43/Budget!$D$29,)</f>
        <v>3.1910177987537964</v>
      </c>
    </row>
    <row r="64" spans="4:7" ht="13.9" thickBot="1" x14ac:dyDescent="0.4">
      <c r="D64" s="504" t="s">
        <v>22</v>
      </c>
      <c r="E64" s="864">
        <f>IF(Budget!$D$29&gt;0,E44/Budget!$D$29,)</f>
        <v>1258.3948867112895</v>
      </c>
      <c r="F64" s="864">
        <f>IF(Budget!$D$29&gt;0,F44/Budget!$D$29,)</f>
        <v>113.63777704688665</v>
      </c>
      <c r="G64" s="870">
        <f>IF(Budget!$D$29&gt;0,G44/Budget!$D$29,)</f>
        <v>1372.0326637581763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21935.608034901885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137.09755021813677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1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1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1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1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1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4.9857054040011874</v>
      </c>
      <c r="C19" s="48">
        <f>Z1_Equipment_Calculations!AC29+Z1_Equipment_Calculations!AF29</f>
        <v>0.45171120485025068</v>
      </c>
      <c r="D19" s="48">
        <f>Z1_Equipment_Calculations!AJ29</f>
        <v>0.96515695488721776</v>
      </c>
      <c r="E19" s="48">
        <f>Z1_Equipment_Calculations!AM29</f>
        <v>0.59793890977443598</v>
      </c>
      <c r="F19" s="53">
        <f>SUM(B19:E19)</f>
        <v>7.0005124735130924</v>
      </c>
      <c r="G19" s="62">
        <f>IF(Machine!$B29&gt;0,B19/Machine!$B29," ")</f>
        <v>4.9857054040011874</v>
      </c>
      <c r="H19" s="48">
        <f>IF(Machine!$B29&gt;0,C19/Machine!$B29," ")</f>
        <v>0.45171120485025068</v>
      </c>
      <c r="I19" s="48">
        <f>IF(Machine!$B29&gt;0,D19/Machine!$B29," ")</f>
        <v>0.96515695488721776</v>
      </c>
      <c r="J19" s="48">
        <f>IF(Machine!$B29&gt;0,E19/Machine!$B29," ")</f>
        <v>0.59793890977443598</v>
      </c>
      <c r="K19" s="53">
        <f>IF(Machine!$B29&gt;0,F19/Machine!$B29," ")</f>
        <v>7.0005124735130924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4.7865266981306949</v>
      </c>
      <c r="C31" s="48">
        <f>Z1_Equipment_Calculations!AC41+Z1_Equipment_Calculations!AF41</f>
        <v>0.2409194160502762</v>
      </c>
      <c r="D31" s="48">
        <f>Z1_Equipment_Calculations!AJ41</f>
        <v>0.94578731745646449</v>
      </c>
      <c r="E31" s="48">
        <f>Z1_Equipment_Calculations!AM41</f>
        <v>2.3102735119725284</v>
      </c>
      <c r="F31" s="53">
        <f t="shared" si="1"/>
        <v>8.2835069436099644</v>
      </c>
      <c r="G31" s="62">
        <f>IF(Machine!$B41&gt;0,B31/Machine!$B41," ")</f>
        <v>4.7865266981306949</v>
      </c>
      <c r="H31" s="48">
        <f>IF(Machine!$B41&gt;0,C31/Machine!$B41," ")</f>
        <v>0.2409194160502762</v>
      </c>
      <c r="I31" s="48">
        <f>IF(Machine!$B41&gt;0,D31/Machine!$B41," ")</f>
        <v>0.94578731745646449</v>
      </c>
      <c r="J31" s="48">
        <f>IF(Machine!$B41&gt;0,E31/Machine!$B41," ")</f>
        <v>2.3102735119725284</v>
      </c>
      <c r="K31" s="53">
        <f>IF(Machine!$B41&gt;0,F31/Machine!$B41," ")</f>
        <v>8.2835069436099644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7.7996888795106489</v>
      </c>
      <c r="C41" s="48">
        <f>Z1_Equipment_Calculations!AC51+Z1_Equipment_Calculations!AF51</f>
        <v>1.7917084821428573</v>
      </c>
      <c r="D41" s="48">
        <f>Z1_Equipment_Calculations!AJ51</f>
        <v>1.5547419642857141</v>
      </c>
      <c r="E41" s="48">
        <f>Z1_Equipment_Calculations!AM51</f>
        <v>1.2016272321428572</v>
      </c>
      <c r="F41" s="53">
        <f t="shared" si="1"/>
        <v>12.347766558082078</v>
      </c>
      <c r="G41" s="62">
        <f>IF(Machine!$B51&gt;0,B41/Machine!$B51," ")</f>
        <v>7.7996888795106489</v>
      </c>
      <c r="H41" s="48">
        <f>IF(Machine!$B51&gt;0,C41/Machine!$B51," ")</f>
        <v>1.7917084821428573</v>
      </c>
      <c r="I41" s="48">
        <f>IF(Machine!$B51&gt;0,D41/Machine!$B51," ")</f>
        <v>1.5547419642857141</v>
      </c>
      <c r="J41" s="48">
        <f>IF(Machine!$B51&gt;0,E41/Machine!$B51," ")</f>
        <v>1.2016272321428572</v>
      </c>
      <c r="K41" s="53">
        <f>IF(Machine!$B51&gt;0,F41/Machine!$B51," ")</f>
        <v>12.347766558082078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48.436327390788669</v>
      </c>
      <c r="C45" s="77">
        <f>SUM(C4:C44)</f>
        <v>7.7400220950298975</v>
      </c>
      <c r="D45" s="77">
        <f>SUM(D4:D44)</f>
        <v>8.6170297793096253</v>
      </c>
      <c r="E45" s="77">
        <f>SUM(E4:E44)</f>
        <v>7.5437083631819055</v>
      </c>
      <c r="F45" s="77">
        <f>SUM(F4:F44)</f>
        <v>72.337087628310101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116.50276396791389</v>
      </c>
      <c r="C57" s="75">
        <f>Z1_Equipment_Calculations!AC67+Z1_Equipment_Calculations!AF67</f>
        <v>22.071246037002044</v>
      </c>
      <c r="D57" s="75">
        <f>Z1_Equipment_Calculations!AJ67</f>
        <v>8.3686519956489001</v>
      </c>
      <c r="E57" s="75">
        <f>Z1_Equipment_Calculations!AM67</f>
        <v>2.2727089783281738</v>
      </c>
      <c r="F57" s="76">
        <f>SUM(B57:E57)</f>
        <v>149.21537097889302</v>
      </c>
      <c r="G57" s="74">
        <f>IF(Machine!$B67&gt;0,B57/Machine!$B67," ")</f>
        <v>116.50276396791389</v>
      </c>
      <c r="H57" s="75">
        <f>IF(Machine!$B67&gt;0,C57/Machine!$B67," ")</f>
        <v>22.071246037002044</v>
      </c>
      <c r="I57" s="75">
        <f>IF(Machine!$B67&gt;0,D57/Machine!$B67," ")</f>
        <v>8.3686519956489001</v>
      </c>
      <c r="J57" s="75">
        <f>IF(Machine!$B67&gt;0,E57/Machine!$B67," ")</f>
        <v>2.2727089783281738</v>
      </c>
      <c r="K57" s="76">
        <f>IF(Machine!$B67&gt;0,F57/Machine!$B67," ")</f>
        <v>149.21537097889302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2.0662526567642967</v>
      </c>
      <c r="C58" s="72">
        <f>Z1_Equipment_Calculations!AC68+Z1_Equipment_Calculations!AF68</f>
        <v>4.7676516646750648E-2</v>
      </c>
      <c r="D58" s="72">
        <f>Z1_Equipment_Calculations!AJ68</f>
        <v>0.14570420885281568</v>
      </c>
      <c r="E58" s="72">
        <f>Z1_Equipment_Calculations!AM68</f>
        <v>0.11363544891640869</v>
      </c>
      <c r="F58" s="73">
        <f>SUM(B58:E58)</f>
        <v>2.3732688311802721</v>
      </c>
      <c r="G58" s="71">
        <f>IF(Machine!$B68&gt;0,B58/Machine!$B68," ")</f>
        <v>2.0662526567642967</v>
      </c>
      <c r="H58" s="72">
        <f>IF(Machine!$B68&gt;0,C58/Machine!$B68," ")</f>
        <v>4.7676516646750648E-2</v>
      </c>
      <c r="I58" s="72">
        <f>IF(Machine!$B68&gt;0,D58/Machine!$B68," ")</f>
        <v>0.14570420885281568</v>
      </c>
      <c r="J58" s="72">
        <f>IF(Machine!$B68&gt;0,E58/Machine!$B68," ")</f>
        <v>0.11363544891640869</v>
      </c>
      <c r="K58" s="73">
        <f>IF(Machine!$B68&gt;0,F58/Machine!$B68," ")</f>
        <v>2.3732688311802721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118.56901662467818</v>
      </c>
      <c r="C72" s="77">
        <f>SUM(C54:C71)</f>
        <v>22.118922553648794</v>
      </c>
      <c r="D72" s="77">
        <f>SUM(D54:D71)</f>
        <v>8.5143562045017163</v>
      </c>
      <c r="E72" s="77">
        <f>SUM(E54:E71)</f>
        <v>2.3863444272445826</v>
      </c>
      <c r="F72" s="77">
        <f>SUM(F54:F71)</f>
        <v>151.58863981007329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167.00534401546685</v>
      </c>
      <c r="C74" s="77">
        <f>C45+C51+C72</f>
        <v>29.85894464867869</v>
      </c>
      <c r="D74" s="77">
        <f>D45+D51+D72</f>
        <v>17.131385983811342</v>
      </c>
      <c r="E74" s="77">
        <f>E45+E51+E72</f>
        <v>9.9300527904264886</v>
      </c>
      <c r="F74" s="77">
        <f>F45+F51+F72</f>
        <v>223.92572743838338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38.155984089812883</v>
      </c>
      <c r="C76" s="77">
        <f>Budget!F30</f>
        <v>4.5193750000000001</v>
      </c>
      <c r="D76" s="77">
        <f>Budget!F29</f>
        <v>34.86698941353383</v>
      </c>
      <c r="E76" s="77">
        <f>'C2_Irrigation_Calculations'!M41*Budget!E33</f>
        <v>0.5872679999999999</v>
      </c>
      <c r="F76" s="77">
        <f>SUM(B76:E76)</f>
        <v>78.12961650334671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1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>
        <f>IF(G2&gt;0,A2_Budget_Look_Up!$C$4," ")</f>
        <v>4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1200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1200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0.69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0.69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275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275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100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100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100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50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50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1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1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0.13750000000000001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0.13750000000000001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0.57999999999999996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0.57999999999999996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11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11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2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12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16.25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16.25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Round Module Cover</v>
      </c>
      <c r="B31" s="1024">
        <f>IF(B$2=1,SUM(BC31:CZ31),"Error")</f>
        <v>19.600000000000001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26.255999999999997</v>
      </c>
      <c r="AP31" s="1049">
        <f>IF(AND(Machine!$B$67=1,Machine!$J$67=1),10.94*(AP4/500),0)</f>
        <v>17.504000000000001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19.600000000000001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10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Boll Weevil Eradication Fee; See Note 3</v>
      </c>
      <c r="B34" s="1024">
        <f>IF(B$2=1,SUM(BC34:CZ34),"Error")</f>
        <v>3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3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28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28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0.1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20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4.9249999999999998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4.9249999999999998</v>
      </c>
      <c r="H39" s="1049">
        <f>(1+2.2)+(0.005*500*Budget!$E$3)</f>
        <v>4.9249999999999998</v>
      </c>
      <c r="I39" s="1049">
        <f>(1+2.2)+(0.005*500*Budget!$E$3)</f>
        <v>4.9249999999999998</v>
      </c>
      <c r="J39" s="1049">
        <f>(1+2.2)+(0.005*500*Budget!$E$3)</f>
        <v>4.9249999999999998</v>
      </c>
      <c r="K39" s="1049">
        <f>(1+2.2)+(0.005*500*Budget!$E$3)</f>
        <v>4.9249999999999998</v>
      </c>
      <c r="L39" s="1049">
        <f>(1+2.2)+(0.005*500*Budget!$E$3)</f>
        <v>4.9249999999999998</v>
      </c>
      <c r="M39" s="1049">
        <f>(1+2.2)+(0.005*500*Budget!$E$3)</f>
        <v>4.9249999999999998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3.4499999999999999E-3</v>
      </c>
      <c r="W39" s="1886">
        <f>(Budget!$E$3*(0.01/2))</f>
        <v>3.4499999999999999E-3</v>
      </c>
      <c r="X39" s="1886">
        <f>(Budget!$E$3*(0.01/2))</f>
        <v>3.4499999999999999E-3</v>
      </c>
      <c r="Y39" s="1886">
        <f>(Budget!$E$3*(0.01/2))</f>
        <v>3.4499999999999999E-3</v>
      </c>
      <c r="Z39" s="1886">
        <f>(Budget!$E$3*(0.01/2))</f>
        <v>3.4499999999999999E-3</v>
      </c>
      <c r="AA39" s="1886">
        <f>(Budget!$E$3*(0.01/2))</f>
        <v>3.4499999999999999E-3</v>
      </c>
      <c r="AB39" s="1886">
        <f>(Budget!$E$3*(0.01/2))</f>
        <v>3.4499999999999999E-3</v>
      </c>
      <c r="AC39" s="1886">
        <f>(Budget!$E$3*(0.01/2))</f>
        <v>3.4499999999999999E-3</v>
      </c>
      <c r="AD39" s="1886">
        <f>(Budget!$E$3*(0.01/2))</f>
        <v>3.4499999999999999E-3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3.4499999999999999E-3</v>
      </c>
      <c r="AM39" s="1886">
        <f>(Budget!$E$3*(0.01/2))</f>
        <v>3.4499999999999999E-3</v>
      </c>
      <c r="AN39" s="1886">
        <f>(Budget!$E$3*(0.01/2))</f>
        <v>3.4499999999999999E-3</v>
      </c>
      <c r="AO39" s="1049">
        <f>(1+2.2)+(0.005*500*Budget!$E$3)</f>
        <v>4.9249999999999998</v>
      </c>
      <c r="AP39" s="1049">
        <f>(1+2.2)+(0.005*500*Budget!$E$3)</f>
        <v>4.9249999999999998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4.9249999999999998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2.38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2.38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47.5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47.5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47.5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47.5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1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2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1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1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1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1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1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1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1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1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1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1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1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1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6104.957454370061</v>
      </c>
      <c r="C7" s="1224">
        <f>Irrigation!F38</f>
        <v>765.84427170091112</v>
      </c>
      <c r="D7" s="1225">
        <f>Irrigation!G38</f>
        <v>6870.8017260709721</v>
      </c>
    </row>
    <row r="8" spans="1:4" ht="13.9" x14ac:dyDescent="0.4">
      <c r="A8" s="1222" t="str">
        <f>Irrigation!D39</f>
        <v>Repairs</v>
      </c>
      <c r="B8" s="1224">
        <f>Irrigation!E39</f>
        <v>723.1</v>
      </c>
      <c r="C8" s="1224">
        <f>Irrigation!F39</f>
        <v>38.547106568044192</v>
      </c>
      <c r="D8" s="1225">
        <f>Irrigation!G39</f>
        <v>761.64710656804425</v>
      </c>
    </row>
    <row r="9" spans="1:4" ht="13.9" x14ac:dyDescent="0.4">
      <c r="A9" s="1222" t="str">
        <f>Irrigation!D40</f>
        <v>Fuel, Energy</v>
      </c>
      <c r="B9" s="1224">
        <f>Irrigation!E40</f>
        <v>5578.7183061654123</v>
      </c>
      <c r="C9" s="1224">
        <f>Irrigation!F40</f>
        <v>151.32597079303432</v>
      </c>
      <c r="D9" s="1225">
        <f>Irrigation!G40</f>
        <v>5730.044276958447</v>
      </c>
    </row>
    <row r="10" spans="1:4" ht="13.9" x14ac:dyDescent="0.4">
      <c r="A10" s="1222" t="str">
        <f>Irrigation!D41</f>
        <v>Labor</v>
      </c>
      <c r="B10" s="1224">
        <f>Irrigation!E41</f>
        <v>93.962879999999984</v>
      </c>
      <c r="C10" s="1224">
        <f>Irrigation!F41</f>
        <v>369.64376191560456</v>
      </c>
      <c r="D10" s="1225">
        <f>Irrigation!G41</f>
        <v>463.60664191560454</v>
      </c>
    </row>
    <row r="11" spans="1:4" ht="13.9" x14ac:dyDescent="0.4">
      <c r="A11" s="1222" t="str">
        <f>Irrigation!D42</f>
        <v>Irrigation Supplies</v>
      </c>
      <c r="B11" s="1224">
        <f>Irrigation!E42</f>
        <v>2600</v>
      </c>
      <c r="C11" s="1224">
        <f>Irrigation!F42</f>
        <v>0</v>
      </c>
      <c r="D11" s="1225">
        <f>Irrigation!G42</f>
        <v>2600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38.292213585045559</v>
      </c>
      <c r="D12" s="1225">
        <f>Irrigation!G43</f>
        <v>38.292213585045559</v>
      </c>
    </row>
    <row r="13" spans="1:4" ht="13.9" thickBot="1" x14ac:dyDescent="0.4">
      <c r="A13" s="1226" t="str">
        <f>Irrigation!D44</f>
        <v>Total</v>
      </c>
      <c r="B13" s="1227">
        <f>Irrigation!E44</f>
        <v>15100.738640535474</v>
      </c>
      <c r="C13" s="1227">
        <f>Irrigation!F44</f>
        <v>1363.6533245626399</v>
      </c>
      <c r="D13" s="1228">
        <f>Irrigation!G44</f>
        <v>16464.391965098115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38.155984089812883</v>
      </c>
      <c r="C17" s="1230">
        <f>Irrigation!F48</f>
        <v>4.7865266981306949</v>
      </c>
      <c r="D17" s="1231">
        <f>Irrigation!G48</f>
        <v>42.942510787943576</v>
      </c>
    </row>
    <row r="18" spans="1:4" ht="13.9" x14ac:dyDescent="0.4">
      <c r="A18" s="1222" t="str">
        <f>Irrigation!D49</f>
        <v>Repairs</v>
      </c>
      <c r="B18" s="1230">
        <f>Irrigation!E49</f>
        <v>4.5193750000000001</v>
      </c>
      <c r="C18" s="1230">
        <f>Irrigation!F49</f>
        <v>0.2409194160502762</v>
      </c>
      <c r="D18" s="1231">
        <f>Irrigation!G49</f>
        <v>4.7602944160502769</v>
      </c>
    </row>
    <row r="19" spans="1:4" ht="13.9" x14ac:dyDescent="0.4">
      <c r="A19" s="1222" t="str">
        <f>Irrigation!D50</f>
        <v>Fuel, Energy</v>
      </c>
      <c r="B19" s="1230">
        <f>Irrigation!E50</f>
        <v>34.86698941353383</v>
      </c>
      <c r="C19" s="1230">
        <f>Irrigation!F50</f>
        <v>0.94578731745646449</v>
      </c>
      <c r="D19" s="1231">
        <f>Irrigation!G50</f>
        <v>35.812776730990294</v>
      </c>
    </row>
    <row r="20" spans="1:4" ht="13.9" x14ac:dyDescent="0.4">
      <c r="A20" s="1222" t="str">
        <f>Irrigation!D51</f>
        <v>Labor</v>
      </c>
      <c r="B20" s="1230">
        <f>Irrigation!E51</f>
        <v>0.5872679999999999</v>
      </c>
      <c r="C20" s="1230">
        <f>Irrigation!F51</f>
        <v>2.3102735119725284</v>
      </c>
      <c r="D20" s="1231">
        <f>Irrigation!G51</f>
        <v>2.8975415119725283</v>
      </c>
    </row>
    <row r="21" spans="1:4" ht="13.9" x14ac:dyDescent="0.4">
      <c r="A21" s="1222" t="str">
        <f>Irrigation!D52</f>
        <v>Irrigation Supplies</v>
      </c>
      <c r="B21" s="1230">
        <f>Irrigation!E52</f>
        <v>16.25</v>
      </c>
      <c r="C21" s="1230">
        <f>Irrigation!F52</f>
        <v>0</v>
      </c>
      <c r="D21" s="1231">
        <f>Irrigation!G52</f>
        <v>16.25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0.23932633490653474</v>
      </c>
      <c r="D22" s="1231">
        <f>Irrigation!G53</f>
        <v>0.23932633490653474</v>
      </c>
    </row>
    <row r="23" spans="1:4" ht="13.9" thickBot="1" x14ac:dyDescent="0.4">
      <c r="A23" s="1226" t="str">
        <f>Irrigation!D54</f>
        <v>Total</v>
      </c>
      <c r="B23" s="1232">
        <f>Irrigation!E54</f>
        <v>94.37961650334671</v>
      </c>
      <c r="C23" s="1232">
        <f>Irrigation!F54</f>
        <v>8.5228332785164991</v>
      </c>
      <c r="D23" s="1233">
        <f>Irrigation!G54</f>
        <v>102.90244978186323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508.74645453083843</v>
      </c>
      <c r="C27" s="1230">
        <f>Irrigation!F58</f>
        <v>63.820355975075927</v>
      </c>
      <c r="D27" s="1231">
        <f>Irrigation!G58</f>
        <v>572.5668105059143</v>
      </c>
    </row>
    <row r="28" spans="1:4" ht="13.9" x14ac:dyDescent="0.4">
      <c r="A28" s="1222" t="str">
        <f>Irrigation!D59</f>
        <v>Repairs</v>
      </c>
      <c r="B28" s="1230">
        <f>Irrigation!E59</f>
        <v>60.258333333333333</v>
      </c>
      <c r="C28" s="1230">
        <f>Irrigation!F59</f>
        <v>3.2122588806703494</v>
      </c>
      <c r="D28" s="1231">
        <f>Irrigation!G59</f>
        <v>63.470592214003688</v>
      </c>
    </row>
    <row r="29" spans="1:4" ht="13.9" x14ac:dyDescent="0.4">
      <c r="A29" s="1222" t="str">
        <f>Irrigation!D60</f>
        <v>Fuel, Energy</v>
      </c>
      <c r="B29" s="1230">
        <f>Irrigation!E60</f>
        <v>464.89319218045102</v>
      </c>
      <c r="C29" s="1230">
        <f>Irrigation!F60</f>
        <v>12.610497566086194</v>
      </c>
      <c r="D29" s="1231">
        <f>Irrigation!G60</f>
        <v>477.50368974653725</v>
      </c>
    </row>
    <row r="30" spans="1:4" ht="13.9" x14ac:dyDescent="0.4">
      <c r="A30" s="1222" t="str">
        <f>Irrigation!D61</f>
        <v>Labor</v>
      </c>
      <c r="B30" s="1230">
        <f>Irrigation!E61</f>
        <v>7.830239999999999</v>
      </c>
      <c r="C30" s="1230">
        <f>Irrigation!F61</f>
        <v>30.80364682630038</v>
      </c>
      <c r="D30" s="1231">
        <f>Irrigation!G61</f>
        <v>38.633886826300376</v>
      </c>
    </row>
    <row r="31" spans="1:4" ht="13.9" x14ac:dyDescent="0.4">
      <c r="A31" s="1222" t="str">
        <f>Irrigation!D62</f>
        <v>Irrigation Supplies</v>
      </c>
      <c r="B31" s="1230">
        <f>Irrigation!E62</f>
        <v>216.66666666666666</v>
      </c>
      <c r="C31" s="1230">
        <f>Irrigation!F62</f>
        <v>0</v>
      </c>
      <c r="D31" s="1231">
        <f>Irrigation!G62</f>
        <v>216.66666666666666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3.1910177987537964</v>
      </c>
      <c r="D32" s="1231">
        <f>Irrigation!G63</f>
        <v>3.1910177987537964</v>
      </c>
    </row>
    <row r="33" spans="1:4" ht="13.9" thickBot="1" x14ac:dyDescent="0.4">
      <c r="A33" s="1226" t="str">
        <f>Irrigation!D64</f>
        <v>Total</v>
      </c>
      <c r="B33" s="1232">
        <f>Irrigation!E64</f>
        <v>1258.3948867112895</v>
      </c>
      <c r="C33" s="1232">
        <f>Irrigation!F64</f>
        <v>113.63777704688665</v>
      </c>
      <c r="D33" s="1233">
        <f>Irrigation!G64</f>
        <v>1372.0326637581763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1200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1200</v>
      </c>
    </row>
    <row r="5" spans="2:14" ht="13.9" x14ac:dyDescent="0.4">
      <c r="B5" s="4" t="s">
        <v>21</v>
      </c>
      <c r="C5" s="1792">
        <f>Print_Budget!E3</f>
        <v>0.69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0.69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179.82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827.99999999999989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179.82</v>
      </c>
    </row>
    <row r="9" spans="2:14" ht="13.9" x14ac:dyDescent="0.4">
      <c r="B9" s="1185" t="s">
        <v>223</v>
      </c>
      <c r="C9" s="1794">
        <f>Print_Budget!F6</f>
        <v>113.05</v>
      </c>
      <c r="D9" s="3"/>
      <c r="E9" s="1190"/>
      <c r="F9" s="3"/>
      <c r="G9" s="1185" t="s">
        <v>223</v>
      </c>
      <c r="H9" s="1800">
        <f>C9</f>
        <v>113.05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153.82416666666666</v>
      </c>
      <c r="D10" s="3"/>
      <c r="E10" s="1190"/>
      <c r="F10" s="3"/>
      <c r="G10" s="1185" t="s">
        <v>420</v>
      </c>
      <c r="H10" s="1794">
        <f t="shared" ref="H10:H21" si="0">C10</f>
        <v>153.82416666666666</v>
      </c>
      <c r="I10" s="3"/>
      <c r="J10" s="3"/>
      <c r="K10" s="1190"/>
      <c r="L10" s="3"/>
      <c r="M10" s="648" t="s">
        <v>777</v>
      </c>
      <c r="N10" s="1542">
        <f>Print_Summary!B20</f>
        <v>695.82472956401182</v>
      </c>
    </row>
    <row r="11" spans="2:14" ht="13.9" x14ac:dyDescent="0.4">
      <c r="B11" s="1185" t="s">
        <v>494</v>
      </c>
      <c r="C11" s="1794">
        <f>SUM(Print_Budget!F13:F17)</f>
        <v>205.32718749999998</v>
      </c>
      <c r="D11" s="3"/>
      <c r="E11" s="1190"/>
      <c r="F11" s="3"/>
      <c r="G11" s="1185" t="s">
        <v>494</v>
      </c>
      <c r="H11" s="1794">
        <f t="shared" si="0"/>
        <v>205.32718749999998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127.09781345173377</v>
      </c>
    </row>
    <row r="12" spans="2:14" ht="13.9" x14ac:dyDescent="0.4">
      <c r="B12" s="1185" t="s">
        <v>225</v>
      </c>
      <c r="C12" s="1794">
        <f>SUM(Print_Budget!F19:F22)</f>
        <v>124.5</v>
      </c>
      <c r="D12" s="3"/>
      <c r="E12" s="1190"/>
      <c r="F12" s="3"/>
      <c r="G12" s="1185" t="s">
        <v>225</v>
      </c>
      <c r="H12" s="1794">
        <f t="shared" si="0"/>
        <v>124.5</v>
      </c>
      <c r="I12" s="3"/>
      <c r="J12" s="3"/>
      <c r="K12" s="1190"/>
      <c r="L12" s="3"/>
      <c r="M12" s="648" t="s">
        <v>168</v>
      </c>
      <c r="N12" s="182">
        <f>SUM(N10:N11)</f>
        <v>822.92254301574553</v>
      </c>
    </row>
    <row r="13" spans="2:14" ht="13.9" x14ac:dyDescent="0.4">
      <c r="B13" s="1185" t="s">
        <v>421</v>
      </c>
      <c r="C13" s="1794">
        <f>Print_Budget!F30+Print_Budget!F31</f>
        <v>35.85</v>
      </c>
      <c r="D13" s="3"/>
      <c r="E13" s="1190"/>
      <c r="F13" s="3"/>
      <c r="G13" s="1185" t="s">
        <v>780</v>
      </c>
      <c r="H13" s="1794">
        <f t="shared" si="0"/>
        <v>35.85</v>
      </c>
      <c r="I13" s="3"/>
      <c r="J13" s="3"/>
      <c r="K13" s="1190"/>
      <c r="L13" s="3"/>
      <c r="M13" s="648" t="s">
        <v>790</v>
      </c>
      <c r="N13" s="1804">
        <f>Print_Summary!B27</f>
        <v>179.82</v>
      </c>
    </row>
    <row r="14" spans="2:14" ht="13.9" x14ac:dyDescent="0.4">
      <c r="B14" s="1185" t="s">
        <v>779</v>
      </c>
      <c r="C14" s="1794">
        <f>Print_Budget!F24+Print_Budget!F26</f>
        <v>17.131385983811342</v>
      </c>
      <c r="D14" s="3"/>
      <c r="E14" s="1190"/>
      <c r="F14" s="3"/>
      <c r="G14" s="1185" t="s">
        <v>779</v>
      </c>
      <c r="H14" s="1794">
        <f t="shared" si="0"/>
        <v>17.131385983811342</v>
      </c>
      <c r="I14" s="3"/>
      <c r="J14" s="3"/>
      <c r="K14" s="1190"/>
      <c r="L14" s="3"/>
      <c r="M14" s="652" t="s">
        <v>1007</v>
      </c>
      <c r="N14" s="173">
        <f>SUM(N12:N13)-N8</f>
        <v>822.92254301574553</v>
      </c>
    </row>
    <row r="15" spans="2:14" ht="13.9" x14ac:dyDescent="0.4">
      <c r="B15" s="1185" t="s">
        <v>422</v>
      </c>
      <c r="C15" s="1794">
        <f>Print_Budget!F28</f>
        <v>34.86698941353383</v>
      </c>
      <c r="D15" s="3"/>
      <c r="E15" s="1190"/>
      <c r="F15" s="3"/>
      <c r="G15" s="1185" t="s">
        <v>422</v>
      </c>
      <c r="H15" s="1794">
        <f t="shared" si="0"/>
        <v>34.86698941353383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13</v>
      </c>
      <c r="D16" s="3"/>
      <c r="E16" s="1190"/>
      <c r="F16" s="3"/>
      <c r="G16" s="1185" t="s">
        <v>778</v>
      </c>
      <c r="H16" s="1794">
        <f t="shared" si="0"/>
        <v>13</v>
      </c>
      <c r="I16" s="3"/>
      <c r="J16" s="3"/>
      <c r="K16" s="1190"/>
      <c r="L16" s="3"/>
      <c r="M16" s="652" t="s">
        <v>233</v>
      </c>
      <c r="N16" s="173">
        <f>N7-N14-N15</f>
        <v>5.0774569842543542</v>
      </c>
    </row>
    <row r="17" spans="2:14" ht="13.9" x14ac:dyDescent="0.4">
      <c r="B17" s="1185" t="s">
        <v>1</v>
      </c>
      <c r="C17" s="1794">
        <f>Print_Budget!F35</f>
        <v>28</v>
      </c>
      <c r="D17" s="3"/>
      <c r="E17" s="1190"/>
      <c r="F17" s="3"/>
      <c r="G17" s="1185" t="s">
        <v>1</v>
      </c>
      <c r="H17" s="1794">
        <f t="shared" si="0"/>
        <v>28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34.378319648678698</v>
      </c>
      <c r="D18" s="3"/>
      <c r="E18" s="1190"/>
      <c r="F18" s="3"/>
      <c r="G18" s="1185" t="s">
        <v>205</v>
      </c>
      <c r="H18" s="1794">
        <f t="shared" si="0"/>
        <v>34.378319648678698</v>
      </c>
      <c r="I18" s="3"/>
      <c r="J18" s="3"/>
      <c r="K18" s="1190"/>
      <c r="L18" s="3"/>
      <c r="M18" s="648" t="s">
        <v>249</v>
      </c>
      <c r="N18" s="1803">
        <f>Print_Summary!B32</f>
        <v>213.51159530605307</v>
      </c>
    </row>
    <row r="19" spans="2:14" ht="13.9" x14ac:dyDescent="0.4">
      <c r="B19" s="1185" t="s">
        <v>214</v>
      </c>
      <c r="C19" s="1794">
        <f>Trips!E45+Trips!E51+Trips!E72+Trips!E76</f>
        <v>10.517320790426488</v>
      </c>
      <c r="D19" s="3"/>
      <c r="E19" s="1190"/>
      <c r="F19" s="3"/>
      <c r="G19" s="1185" t="s">
        <v>214</v>
      </c>
      <c r="H19" s="1794">
        <f t="shared" si="0"/>
        <v>10.517320790426488</v>
      </c>
      <c r="I19" s="3"/>
      <c r="J19" s="3"/>
      <c r="K19" s="1190"/>
      <c r="L19" s="3"/>
      <c r="M19" s="308" t="s">
        <v>650</v>
      </c>
      <c r="N19" s="173">
        <f>N14+N18</f>
        <v>1036.4341383217986</v>
      </c>
    </row>
    <row r="20" spans="2:14" ht="13.9" x14ac:dyDescent="0.4">
      <c r="B20" s="1185" t="s">
        <v>28</v>
      </c>
      <c r="C20" s="1794">
        <f>Print_Budget!F36</f>
        <v>32.600773012628572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-208.43413832179874</v>
      </c>
    </row>
    <row r="22" spans="2:14" ht="13.9" x14ac:dyDescent="0.4">
      <c r="B22" s="1185" t="s">
        <v>790</v>
      </c>
      <c r="C22" s="1794">
        <f>Print_Budget!F39+Print_Budget!F40</f>
        <v>168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11.819999999999999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205.16132810527972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167.00534401546685</v>
      </c>
      <c r="D26" s="3"/>
      <c r="E26" s="1190"/>
      <c r="F26" s="3"/>
      <c r="G26" s="648" t="s">
        <v>647</v>
      </c>
      <c r="H26" s="1801">
        <f>C28</f>
        <v>8.3502672007733434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38.155984089812883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8.3502672007733434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684.54972956401184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770.44537000311709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803.04614301574566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213.51159530605307</v>
      </c>
    </row>
    <row r="34" spans="2:3" ht="13.5" x14ac:dyDescent="0.35">
      <c r="B34" s="308" t="s">
        <v>650</v>
      </c>
      <c r="C34" s="173">
        <f>C32+C33</f>
        <v>1016.5577383217988</v>
      </c>
    </row>
    <row r="35" spans="2:3" ht="13.5" x14ac:dyDescent="0.35">
      <c r="B35" s="308" t="s">
        <v>761</v>
      </c>
      <c r="C35" s="173">
        <f>(C4*C5*C6)-C24-C34</f>
        <v>-188.55773832179887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>
        <f>IF(Machine!B29&gt;0,Machine!B29," ")</f>
        <v>1</v>
      </c>
      <c r="E20" s="1525">
        <v>1000</v>
      </c>
      <c r="F20" s="1354">
        <f>IF(Machine!$B29&gt;0,E20*Trips!$M19*$D20," ")</f>
        <v>38.768796992481192</v>
      </c>
      <c r="G20" s="1394">
        <f>IF(AND($D20&gt;0,Machine!$H29&lt;=170),$E20,0)</f>
        <v>0</v>
      </c>
      <c r="H20" s="1393">
        <f>IF(Machine!$B29&gt;0,G20*Trips!$M19*$D20," ")</f>
        <v>0</v>
      </c>
      <c r="I20" s="1398">
        <f>IF(AND($D20&gt;0,Machine!$H29&gt;170,Machine!$H29&lt;200),$E20,0)</f>
        <v>0</v>
      </c>
      <c r="J20" s="1399">
        <f>IF(Machine!$B29&gt;0,I20*Trips!$M19*$D20," ")</f>
        <v>0</v>
      </c>
      <c r="K20" s="1404">
        <f>IF(AND($D20&gt;0,Machine!$H29&gt;=200,Machine!$H29&lt;250),$E20,0)</f>
        <v>1000</v>
      </c>
      <c r="L20" s="1405">
        <f>IF(Machine!$B29&gt;0,K20*Trips!$M19*$D20," ")</f>
        <v>38.768796992481192</v>
      </c>
      <c r="M20" s="1413">
        <f>IF(AND($D20&gt;0,Machine!$H29&gt;=250),$E20,0)</f>
        <v>0</v>
      </c>
      <c r="N20" s="1412">
        <f>IF(Machine!$B29&gt;0,M20*Trips!$M19*$D20," ")</f>
        <v>0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>
        <f>IF(Machine!B41&gt;0,Machine!B41," ")</f>
        <v>1</v>
      </c>
      <c r="E32" s="1525">
        <v>1000</v>
      </c>
      <c r="F32" s="1354">
        <f>IF(Machine!$B41&gt;0,E32*Trips!$M31*$D32," ")</f>
        <v>49.930699897395449</v>
      </c>
      <c r="G32" s="1394">
        <f>IF(AND($D32&gt;0,Machine!$H41&lt;=170),$E32,0)</f>
        <v>0</v>
      </c>
      <c r="H32" s="1393">
        <f>IF(Machine!$B41&gt;0,G32*Trips!$M31*$D32," ")</f>
        <v>0</v>
      </c>
      <c r="I32" s="1398">
        <f>IF(AND($D32&gt;0,Machine!$H41&gt;170,Machine!$H41&lt;200),$E32,0)</f>
        <v>1000</v>
      </c>
      <c r="J32" s="1399">
        <f>IF(Machine!$B41&gt;0,I32*Trips!$M31*$D32," ")</f>
        <v>49.930699897395449</v>
      </c>
      <c r="K32" s="1404">
        <f>IF(AND($D32&gt;0,Machine!$H41&gt;=200,Machine!$H41&lt;250),$E32,0)</f>
        <v>0</v>
      </c>
      <c r="L32" s="1405">
        <f>IF(Machine!$B41&gt;0,K32*Trips!$M31*$D32," ")</f>
        <v>0</v>
      </c>
      <c r="M32" s="1413">
        <f>IF(AND($D32&gt;0,Machine!$H41&gt;=250),$E32,0)</f>
        <v>0</v>
      </c>
      <c r="N32" s="1412">
        <f>IF(Machine!$B41&gt;0,M32*Trips!$M31*$D32," ")</f>
        <v>0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>
        <f>IF(Machine!B51&gt;0,Machine!B51," ")</f>
        <v>1</v>
      </c>
      <c r="E42" s="1525">
        <v>1000</v>
      </c>
      <c r="F42" s="1354">
        <f>IF(Machine!$B51&gt;0,E42*Trips!$M41*$D42," ")</f>
        <v>73.660714285714292</v>
      </c>
      <c r="G42" s="1394">
        <f>IF(AND($D42&gt;0,Machine!$H51&lt;=170),$E42,0)</f>
        <v>0</v>
      </c>
      <c r="H42" s="1393">
        <f>IF(Machine!$B51&gt;0,G42*Trips!$M41*$D42," ")</f>
        <v>0</v>
      </c>
      <c r="I42" s="1398">
        <f>IF(AND($D42&gt;0,Machine!$H51&gt;170,Machine!$H51&lt;200),$E42,0)</f>
        <v>1000</v>
      </c>
      <c r="J42" s="1399">
        <f>IF(Machine!$B51&gt;0,I42*Trips!$M41*$D42," ")</f>
        <v>73.660714285714292</v>
      </c>
      <c r="K42" s="1404">
        <f>IF(AND($D42&gt;0,Machine!$H51&gt;=200,Machine!$H51&lt;250),$E42,0)</f>
        <v>0</v>
      </c>
      <c r="L42" s="1405">
        <f>IF(Machine!$B51&gt;0,K42*Trips!$M41*$D42," ")</f>
        <v>0</v>
      </c>
      <c r="M42" s="1413">
        <f>IF(AND($D42&gt;0,Machine!$H51&gt;=250),$E42,0)</f>
        <v>0</v>
      </c>
      <c r="N42" s="1412">
        <f>IF(Machine!$B51&gt;0,M42*Trips!$M41*$D42," ")</f>
        <v>0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>
        <f>IF(Machine!B67&gt;0,Machine!B67," ")</f>
        <v>1</v>
      </c>
      <c r="E58" s="1525"/>
      <c r="F58" s="1354">
        <f>IF(Machine!$B67&gt;0,E58*Trips!$M$57*$D58," ")</f>
        <v>0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>
        <f>IF(Machine!B68&gt;0,Machine!B68," ")</f>
        <v>1</v>
      </c>
      <c r="E59" s="1525"/>
      <c r="F59" s="1354">
        <f>IF(Machine!$B68&gt;0,E59*Trips!$M$57*$D59," ")</f>
        <v>0</v>
      </c>
      <c r="G59" s="1394">
        <f>IF(AND($D59&gt;0,Machine!$H68&lt;=170),$E59,0)</f>
        <v>0</v>
      </c>
      <c r="H59" s="1393">
        <f>IF(Machine!$B68&gt;0,G59*Trips!$M$57*$D59," ")</f>
        <v>0</v>
      </c>
      <c r="I59" s="1398">
        <f>IF(AND($D59&gt;0,Machine!$H68&gt;170,Machine!$H68&lt;200),$E59,0)</f>
        <v>0</v>
      </c>
      <c r="J59" s="1399">
        <f>IF(Machine!$B68&gt;0,I59*Trips!$M$57*$D59," ")</f>
        <v>0</v>
      </c>
      <c r="K59" s="1404">
        <f>IF(AND($D59&gt;0,Machine!$H68&gt;=200,Machine!$H68&lt;250),$E59,0)</f>
        <v>0</v>
      </c>
      <c r="L59" s="1405">
        <f>IF(Machine!$B68&gt;0,K59*Trips!$M$57*$D59," ")</f>
        <v>0</v>
      </c>
      <c r="M59" s="1413">
        <f>IF(AND($D59&gt;0,Machine!$H68&gt;=250),$E59,0)</f>
        <v>0</v>
      </c>
      <c r="N59" s="1412">
        <f>IF(Machine!$B68&gt;0,M59*Trips!$M$57*$D59," ")</f>
        <v>0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182.3520979437935</v>
      </c>
      <c r="K73" s="3"/>
      <c r="L73" s="1359">
        <f>SUM(L5:L72)</f>
        <v>195.87111160253573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727.9</v>
      </c>
      <c r="C4" s="182">
        <f>SUM(A5_Chem_Look_Up!G24:G33)+SUM(A5_Chem_Look_Up!G38:G39)</f>
        <v>20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130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857.9</v>
      </c>
      <c r="C6" s="182">
        <f>C4+C5</f>
        <v>20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25.371148045188384</v>
      </c>
      <c r="C7" s="1456">
        <f>C6/$E$6</f>
        <v>0.59147098834802148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163.3901934110132</v>
      </c>
      <c r="C9" s="1459">
        <f>C7*C8</f>
        <v>3.2176021766132372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275</v>
      </c>
      <c r="D15" s="1456">
        <f>C15/$B$12</f>
        <v>124.73776719396723</v>
      </c>
      <c r="E15" s="1456">
        <v>1.3</v>
      </c>
      <c r="F15" s="1456">
        <f>D15*E15</f>
        <v>162.1590973521574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100</v>
      </c>
      <c r="D16" s="1456">
        <f>C16/$B$12</f>
        <v>45.359188070533534</v>
      </c>
      <c r="E16" s="1456">
        <v>0.2</v>
      </c>
      <c r="F16" s="1456">
        <f>D16*E16</f>
        <v>9.0718376141067072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178.48840505754947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275</v>
      </c>
      <c r="D22" s="1456">
        <f>C22/$B$12</f>
        <v>124.73776719396723</v>
      </c>
      <c r="E22" s="1456">
        <v>1.27</v>
      </c>
      <c r="F22" s="1459">
        <f>D22*E22</f>
        <v>158.4169643363384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6.9639780421997326</v>
      </c>
      <c r="D28" s="1456">
        <f>C28/$B$25</f>
        <v>26.361729349281646</v>
      </c>
      <c r="E28" s="1456">
        <v>0.84</v>
      </c>
      <c r="F28" s="1456">
        <f>D28*E28</f>
        <v>22.143852653396582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14.173572932330826</v>
      </c>
      <c r="D29" s="1450">
        <f>C29/$B$25</f>
        <v>53.653226832459495</v>
      </c>
      <c r="E29" s="1450">
        <v>0.84</v>
      </c>
      <c r="F29" s="1450">
        <f>D29*E29</f>
        <v>45.068710539265972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67.212563192662557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570.72572817417688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1410.3203468912084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391.46416057152578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1018.8561863196826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4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4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1.5</v>
      </c>
      <c r="H7" s="1073">
        <f>VLOOKUP(2,$I$6:$Q$3099,9,FALSE)</f>
        <v>4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Brake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25.5</v>
      </c>
      <c r="E8" s="1165">
        <f>VLOOKUP(3,$I$6:$P$3099,6,FALSE)</f>
        <v>1</v>
      </c>
      <c r="F8" s="82">
        <f t="shared" ref="F8:F19" si="2">D8*E8</f>
        <v>25.5</v>
      </c>
      <c r="G8" s="1166">
        <f>VLOOKUP(3,$I$6:$P$3099,8,FALSE)</f>
        <v>16</v>
      </c>
      <c r="H8" s="1073">
        <f>VLOOKUP(3,$I$6:$Q$3099,9,FALSE)</f>
        <v>4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Cotoran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2.5</v>
      </c>
      <c r="E9" s="1165">
        <f>VLOOKUP(4,$I$6:$P$3099,6,FALSE)</f>
        <v>1.6</v>
      </c>
      <c r="F9" s="82">
        <f t="shared" si="2"/>
        <v>4</v>
      </c>
      <c r="G9" s="1166">
        <f>VLOOKUP(4,$I$6:$P$3099,8,FALSE)</f>
        <v>25.6</v>
      </c>
      <c r="H9" s="1073">
        <f>VLOOKUP(4,$I$6:$Q$3099,9,FALSE)</f>
        <v>4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512</v>
      </c>
      <c r="H10" s="1073">
        <f>VLOOKUP(5,$I$6:$Q$3099,9,FALSE)</f>
        <v>4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Outlook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0.84234374999999995</v>
      </c>
      <c r="E11" s="1165">
        <f>VLOOKUP(6,$I$6:$P$3099,6,FALSE)</f>
        <v>12.8</v>
      </c>
      <c r="F11" s="82">
        <f t="shared" si="2"/>
        <v>10.782</v>
      </c>
      <c r="G11" s="1166">
        <f>VLOOKUP(6,$I$6:$P$3099,8,FALSE)</f>
        <v>12.8</v>
      </c>
      <c r="H11" s="1073">
        <f>VLOOKUP(6,$I$6:$Q$3099,9,FALSE)</f>
        <v>4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Liberty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0.28875000000000001</v>
      </c>
      <c r="E12" s="1165">
        <f>VLOOKUP(7,$I$6:$P$3099,6,FALSE)</f>
        <v>32</v>
      </c>
      <c r="F12" s="82">
        <f t="shared" si="2"/>
        <v>9.24</v>
      </c>
      <c r="G12" s="1166">
        <f>VLOOKUP(7,$I$6:$P$3099,8,FALSE)</f>
        <v>32</v>
      </c>
      <c r="H12" s="1073">
        <f>VLOOKUP(7,$I$6:$Q$3099,9,FALSE)</f>
        <v>4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Metolachlor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5.0387500000000003</v>
      </c>
      <c r="E13" s="1165">
        <f>VLOOKUP(8,$I$6:$P$3099,6,FALSE)</f>
        <v>1</v>
      </c>
      <c r="F13" s="82">
        <f t="shared" si="2"/>
        <v>5.0387500000000003</v>
      </c>
      <c r="G13" s="1166">
        <f>VLOOKUP(8,$I$6:$P$3099,8,FALSE)</f>
        <v>16</v>
      </c>
      <c r="H13" s="1073">
        <f>VLOOKUP(8,$I$6:$Q$3099,9,FALSE)</f>
        <v>4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Liberty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0.28875000000000001</v>
      </c>
      <c r="E14" s="1165">
        <f>VLOOKUP(9,$I$6:$P$3099,6,FALSE)</f>
        <v>32</v>
      </c>
      <c r="F14" s="82">
        <f t="shared" si="2"/>
        <v>9.24</v>
      </c>
      <c r="G14" s="1166">
        <f>VLOOKUP(9,$I$6:$P$3099,8,FALSE)</f>
        <v>32</v>
      </c>
      <c r="H14" s="1073">
        <f>VLOOKUP(9,$I$6:$Q$3099,9,FALSE)</f>
        <v>4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Direx</v>
      </c>
      <c r="B15" s="1166" t="str">
        <f>VLOOKUP(10,$I$6:$P$3099,3,FALSE)</f>
        <v/>
      </c>
      <c r="C15" s="1166" t="str">
        <f>VLOOKUP(10,$I$6:$P$3099,4,FALSE)</f>
        <v>pt</v>
      </c>
      <c r="D15" s="1165">
        <f>VLOOKUP(10,$I$6:$P$3099,5,FALSE)</f>
        <v>4.4637500000000001</v>
      </c>
      <c r="E15" s="1165">
        <f>VLOOKUP(10,$I$6:$P$3099,6,FALSE)</f>
        <v>1.5</v>
      </c>
      <c r="F15" s="82">
        <f t="shared" si="2"/>
        <v>6.6956249999999997</v>
      </c>
      <c r="G15" s="1166">
        <f>VLOOKUP(10,$I$6:$P$3099,8,FALSE)</f>
        <v>24</v>
      </c>
      <c r="H15" s="1073">
        <f>VLOOKUP(10,$I$6:$Q$3099,9,FALSE)</f>
        <v>4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MSMA 6</v>
      </c>
      <c r="B16" s="1166" t="str">
        <f>VLOOKUP(11,$I$6:$P$3099,3,FALSE)</f>
        <v/>
      </c>
      <c r="C16" s="1166" t="str">
        <f>VLOOKUP(11,$I$6:$P$3099,4,FALSE)</f>
        <v>qt</v>
      </c>
      <c r="D16" s="1165">
        <f>VLOOKUP(11,$I$6:$P$3099,5,FALSE)</f>
        <v>14.375</v>
      </c>
      <c r="E16" s="1165">
        <f>VLOOKUP(11,$I$6:$P$3099,6,FALSE)</f>
        <v>1.5</v>
      </c>
      <c r="F16" s="82">
        <f t="shared" si="2"/>
        <v>21.5625</v>
      </c>
      <c r="G16" s="1166">
        <f>VLOOKUP(11,$I$6:$P$3099,8,FALSE)</f>
        <v>24</v>
      </c>
      <c r="H16" s="1073">
        <f>VLOOKUP(11,$I$6:$Q$3099,9,FALSE)</f>
        <v>4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4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4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4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112.36137499999998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Centric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5.95</v>
      </c>
      <c r="E24" s="1165">
        <f>VLOOKUP(15,$I$6:$P$3099,6,FALSE)</f>
        <v>2</v>
      </c>
      <c r="F24" s="82">
        <f t="shared" ref="F24:F33" si="4">D24*E24</f>
        <v>11.9</v>
      </c>
      <c r="G24" s="1166">
        <f>VLOOKUP(15,$I$6:$P$3099,8,FALSE)</f>
        <v>2</v>
      </c>
      <c r="H24" s="1073">
        <f>VLOOKUP(15,$I$6:$Q$3099,9,FALSE)</f>
        <v>4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Diamond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1.1971354166666666</v>
      </c>
      <c r="E25" s="1165">
        <f>VLOOKUP(16,$I$6:$P$3099,6,FALSE)</f>
        <v>6</v>
      </c>
      <c r="F25" s="82">
        <f t="shared" si="4"/>
        <v>7.1828124999999989</v>
      </c>
      <c r="G25" s="1166">
        <f>VLOOKUP(16,$I$6:$P$3099,8,FALSE)</f>
        <v>6</v>
      </c>
      <c r="H25" s="1073">
        <f>VLOOKUP(16,$I$6:$Q$3099,9,FALSE)</f>
        <v>4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Centric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5.95</v>
      </c>
      <c r="E26" s="1165">
        <f>VLOOKUP(17,$I$6:$P$3099,6,FALSE)</f>
        <v>2</v>
      </c>
      <c r="F26" s="82">
        <f t="shared" si="4"/>
        <v>11.9</v>
      </c>
      <c r="G26" s="1166">
        <f>VLOOKUP(17,$I$6:$P$3099,8,FALSE)</f>
        <v>2</v>
      </c>
      <c r="H26" s="1073">
        <f>VLOOKUP(17,$I$6:$Q$3099,9,FALSE)</f>
        <v>4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Diamond</v>
      </c>
      <c r="B27" s="1166" t="str">
        <f>VLOOKUP(18,$I$6:$P$3099,3,FALSE)</f>
        <v/>
      </c>
      <c r="C27" s="1166" t="str">
        <f>VLOOKUP(18,$I$6:$P$3099,4,FALSE)</f>
        <v>oz</v>
      </c>
      <c r="D27" s="1165">
        <f>VLOOKUP(18,$I$6:$P$3099,5,FALSE)</f>
        <v>1.1971354166666666</v>
      </c>
      <c r="E27" s="1165">
        <f>VLOOKUP(18,$I$6:$P$3099,6,FALSE)</f>
        <v>6</v>
      </c>
      <c r="F27" s="82">
        <f t="shared" si="4"/>
        <v>7.1828124999999989</v>
      </c>
      <c r="G27" s="1166">
        <f>VLOOKUP(18,$I$6:$P$3099,8,FALSE)</f>
        <v>6</v>
      </c>
      <c r="H27" s="1073">
        <f>VLOOKUP(18,$I$6:$Q$3099,9,FALSE)</f>
        <v>4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Transform</v>
      </c>
      <c r="B28" s="1166" t="str">
        <f>VLOOKUP(19,$I$6:$P$3099,3,FALSE)</f>
        <v/>
      </c>
      <c r="C28" s="1166" t="str">
        <f>VLOOKUP(19,$I$6:$P$3099,4,FALSE)</f>
        <v>oz</v>
      </c>
      <c r="D28" s="1165">
        <f>VLOOKUP(19,$I$6:$P$3099,5,FALSE)</f>
        <v>7.859375</v>
      </c>
      <c r="E28" s="1165">
        <f>VLOOKUP(19,$I$6:$P$3099,6,FALSE)</f>
        <v>2</v>
      </c>
      <c r="F28" s="82">
        <f t="shared" si="4"/>
        <v>15.71875</v>
      </c>
      <c r="G28" s="1166">
        <f>VLOOKUP(19,$I$6:$P$3099,8,FALSE)</f>
        <v>2</v>
      </c>
      <c r="H28" s="1073">
        <f>VLOOKUP(19,$I$6:$Q$3099,9,FALSE)</f>
        <v>4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Transform</v>
      </c>
      <c r="B29" s="1166" t="str">
        <f>VLOOKUP(20,$I$6:$P$3099,3,FALSE)</f>
        <v/>
      </c>
      <c r="C29" s="1166" t="str">
        <f>VLOOKUP(20,$I$6:$P$3099,4,FALSE)</f>
        <v>oz</v>
      </c>
      <c r="D29" s="1165">
        <f>VLOOKUP(20,$I$6:$P$3099,5,FALSE)</f>
        <v>7.859375</v>
      </c>
      <c r="E29" s="1165">
        <f>VLOOKUP(20,$I$6:$P$3099,6,FALSE)</f>
        <v>2</v>
      </c>
      <c r="F29" s="82">
        <f t="shared" si="4"/>
        <v>15.71875</v>
      </c>
      <c r="G29" s="1166">
        <f>VLOOKUP(20,$I$6:$P$3099,8,FALSE)</f>
        <v>2</v>
      </c>
      <c r="H29" s="1073">
        <f>VLOOKUP(20,$I$6:$Q$3099,9,FALSE)</f>
        <v>4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4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4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4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4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69.603125000000006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 t="str">
        <f>VLOOKUP(25,$I$6:$P$3099,8,FALSE)</f>
        <v/>
      </c>
      <c r="H38" s="1073">
        <f>VLOOKUP(25,$I$6:$Q$3099,9,FALSE)</f>
        <v>4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 t="str">
        <f>VLOOKUP(26,$I$6:$P$3099,8,FALSE)</f>
        <v/>
      </c>
      <c r="H39" s="1073">
        <f>VLOOKUP(26,$I$6:$Q$3099,9,FALSE)</f>
        <v>4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Growth Regulator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Growth Regulator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Mepiquat</v>
      </c>
      <c r="B44" s="1166" t="str">
        <f>VLOOKUP(27,$I$6:$P$3099,3,FALSE)</f>
        <v/>
      </c>
      <c r="C44" s="1166" t="str">
        <f>VLOOKUP(27,$I$6:$P$3099,4,FALSE)</f>
        <v>oz</v>
      </c>
      <c r="D44" s="1165">
        <f>VLOOKUP(27,$I$6:$P$3099,5,FALSE)</f>
        <v>4.9796874999999997E-2</v>
      </c>
      <c r="E44" s="1165">
        <f>VLOOKUP(27,$I$6:$P$3099,6,FALSE)</f>
        <v>16</v>
      </c>
      <c r="F44" s="82">
        <f t="shared" ref="F44:F50" si="8">D44*E44</f>
        <v>0.79674999999999996</v>
      </c>
      <c r="G44" s="1166">
        <f>VLOOKUP(27,$I$6:$P$3099,8,FALSE)</f>
        <v>16</v>
      </c>
      <c r="H44" s="1073">
        <f>VLOOKUP(27,$I$6:$Q$3099,9,FALSE)</f>
        <v>4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Mepiquat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4.9796874999999997E-2</v>
      </c>
      <c r="E45" s="1165">
        <f>VLOOKUP(28,$I$6:$P$3099,6,FALSE)</f>
        <v>20</v>
      </c>
      <c r="F45" s="82">
        <f t="shared" si="8"/>
        <v>0.99593749999999992</v>
      </c>
      <c r="G45" s="1166">
        <f>VLOOKUP(28,$I$6:$P$3099,8,FALSE)</f>
        <v>20</v>
      </c>
      <c r="H45" s="1073">
        <f>VLOOKUP(28,$I$6:$Q$3099,9,FALSE)</f>
        <v>4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Mepiquat</v>
      </c>
      <c r="B46" s="1166" t="str">
        <f>VLOOKUP(29,$I$6:$P$3099,3,FALSE)</f>
        <v/>
      </c>
      <c r="C46" s="1166" t="str">
        <f>VLOOKUP(29,$I$6:$P$3099,4,FALSE)</f>
        <v>oz</v>
      </c>
      <c r="D46" s="1165">
        <f>VLOOKUP(29,$I$6:$P$3099,5,FALSE)</f>
        <v>4.9796874999999997E-2</v>
      </c>
      <c r="E46" s="1165">
        <f>VLOOKUP(29,$I$6:$P$3099,6,FALSE)</f>
        <v>20</v>
      </c>
      <c r="F46" s="82">
        <f t="shared" si="8"/>
        <v>0.99593749999999992</v>
      </c>
      <c r="G46" s="1166">
        <f>VLOOKUP(29,$I$6:$P$3099,8,FALSE)</f>
        <v>20</v>
      </c>
      <c r="H46" s="1073">
        <f>VLOOKUP(29,$I$6:$Q$3099,9,FALSE)</f>
        <v>4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Mepiquat</v>
      </c>
      <c r="B47" s="1166" t="str">
        <f>VLOOKUP(30,$I$6:$P$3099,3,FALSE)</f>
        <v/>
      </c>
      <c r="C47" s="1166" t="str">
        <f>VLOOKUP(30,$I$6:$P$3099,4,FALSE)</f>
        <v>oz</v>
      </c>
      <c r="D47" s="1165">
        <f>VLOOKUP(30,$I$6:$P$3099,5,FALSE)</f>
        <v>4.9796874999999997E-2</v>
      </c>
      <c r="E47" s="1165">
        <f>VLOOKUP(30,$I$6:$P$3099,6,FALSE)</f>
        <v>20</v>
      </c>
      <c r="F47" s="82">
        <f t="shared" si="8"/>
        <v>0.99593749999999992</v>
      </c>
      <c r="G47" s="1166">
        <f>VLOOKUP(30,$I$6:$P$3099,8,FALSE)</f>
        <v>20</v>
      </c>
      <c r="H47" s="1073">
        <f>VLOOKUP(30,$I$6:$Q$3099,9,FALSE)</f>
        <v>4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 t="str">
        <f>VLOOKUP(31,$I$6:$P$3099,8,FALSE)</f>
        <v/>
      </c>
      <c r="H48" s="1073">
        <f>VLOOKUP(31,$I$6:$Q$3099,9,FALSE)</f>
        <v>4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 t="str">
        <f>VLOOKUP(32,$I$6:$P$3099,8,FALSE)</f>
        <v/>
      </c>
      <c r="H49" s="1073">
        <f>VLOOKUP(32,$I$6:$Q$3099,9,FALSE)</f>
        <v>4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 t="str">
        <f>VLOOKUP(33,$I$6:$P$3099,8,FALSE)</f>
        <v/>
      </c>
      <c r="H50" s="1073">
        <f>VLOOKUP(33,$I$6:$Q$3099,9,FALSE)</f>
        <v>4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3.7845624999999998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Defoliant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Defoliant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Dropp</v>
      </c>
      <c r="B55" s="1166" t="str">
        <f>VLOOKUP(34,$I$6:$P$3099,3,FALSE)</f>
        <v/>
      </c>
      <c r="C55" s="1166" t="str">
        <f>VLOOKUP(34,$I$6:$P$3099,4,FALSE)</f>
        <v>oz</v>
      </c>
      <c r="D55" s="1165">
        <f>VLOOKUP(34,$I$6:$P$3099,5,FALSE)</f>
        <v>0.78125</v>
      </c>
      <c r="E55" s="1165">
        <f>VLOOKUP(34,$I$6:$P$3099,6,FALSE)</f>
        <v>2</v>
      </c>
      <c r="F55" s="82">
        <f t="shared" ref="F55:F61" si="12">D55*E55</f>
        <v>1.5625</v>
      </c>
      <c r="G55" s="1166">
        <f>VLOOKUP(34,$I$6:$P$3099,8,FALSE)</f>
        <v>2</v>
      </c>
      <c r="H55" s="1073">
        <f>VLOOKUP(34,$I$6:$Q$3099,9,FALSE)</f>
        <v>4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Folex</v>
      </c>
      <c r="B56" s="1166" t="str">
        <f>VLOOKUP(35,$I$6:$P$3099,3,FALSE)</f>
        <v/>
      </c>
      <c r="C56" s="1166" t="str">
        <f>VLOOKUP(35,$I$6:$P$3099,4,FALSE)</f>
        <v>oz</v>
      </c>
      <c r="D56" s="1165">
        <f>VLOOKUP(35,$I$6:$P$3099,5,FALSE)</f>
        <v>0.5234375</v>
      </c>
      <c r="E56" s="1165">
        <f>VLOOKUP(35,$I$6:$P$3099,6,FALSE)</f>
        <v>6</v>
      </c>
      <c r="F56" s="82">
        <f t="shared" si="12"/>
        <v>3.140625</v>
      </c>
      <c r="G56" s="1166">
        <f>VLOOKUP(35,$I$6:$P$3099,8,FALSE)</f>
        <v>6</v>
      </c>
      <c r="H56" s="1073">
        <f>VLOOKUP(35,$I$6:$Q$3099,9,FALSE)</f>
        <v>4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Prep</v>
      </c>
      <c r="B57" s="1166" t="str">
        <f>VLOOKUP(36,$I$6:$P$3099,3,FALSE)</f>
        <v/>
      </c>
      <c r="C57" s="1166" t="str">
        <f>VLOOKUP(36,$I$6:$P$3099,4,FALSE)</f>
        <v>oz</v>
      </c>
      <c r="D57" s="1165">
        <f>VLOOKUP(36,$I$6:$P$3099,5,FALSE)</f>
        <v>0.28125</v>
      </c>
      <c r="E57" s="1165">
        <f>VLOOKUP(36,$I$6:$P$3099,6,FALSE)</f>
        <v>6</v>
      </c>
      <c r="F57" s="82">
        <f t="shared" si="12"/>
        <v>1.6875</v>
      </c>
      <c r="G57" s="1166">
        <f>VLOOKUP(36,$I$6:$P$3099,8,FALSE)</f>
        <v>6</v>
      </c>
      <c r="H57" s="1073">
        <f>VLOOKUP(36,$I$6:$Q$3099,9,FALSE)</f>
        <v>4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Folex</v>
      </c>
      <c r="B58" s="1166" t="str">
        <f>VLOOKUP(37,$I$6:$P$3099,3,FALSE)</f>
        <v/>
      </c>
      <c r="C58" s="1166" t="str">
        <f>VLOOKUP(37,$I$6:$P$3099,4,FALSE)</f>
        <v>oz</v>
      </c>
      <c r="D58" s="1165">
        <f>VLOOKUP(37,$I$6:$P$3099,5,FALSE)</f>
        <v>0.5234375</v>
      </c>
      <c r="E58" s="1165">
        <f>VLOOKUP(37,$I$6:$P$3099,6,FALSE)</f>
        <v>8</v>
      </c>
      <c r="F58" s="82">
        <f t="shared" si="12"/>
        <v>4.1875</v>
      </c>
      <c r="G58" s="1166">
        <f>VLOOKUP(37,$I$6:$P$3099,8,FALSE)</f>
        <v>8</v>
      </c>
      <c r="H58" s="1073">
        <f>VLOOKUP(37,$I$6:$Q$3099,9,FALSE)</f>
        <v>4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Prep</v>
      </c>
      <c r="B59" s="1166" t="str">
        <f>VLOOKUP(38,$I$6:$P$3099,3,FALSE)</f>
        <v/>
      </c>
      <c r="C59" s="1166" t="str">
        <f>VLOOKUP(38,$I$6:$P$3099,4,FALSE)</f>
        <v>oz</v>
      </c>
      <c r="D59" s="1165">
        <f>VLOOKUP(38,$I$6:$P$3099,5,FALSE)</f>
        <v>0.28125</v>
      </c>
      <c r="E59" s="1165">
        <f>VLOOKUP(38,$I$6:$P$3099,6,FALSE)</f>
        <v>32</v>
      </c>
      <c r="F59" s="82">
        <f t="shared" si="12"/>
        <v>9</v>
      </c>
      <c r="G59" s="1166">
        <f>VLOOKUP(38,$I$6:$P$3099,8,FALSE)</f>
        <v>32</v>
      </c>
      <c r="H59" s="1073">
        <f>VLOOKUP(38,$I$6:$Q$3099,9,FALSE)</f>
        <v>4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 t="str">
        <f>VLOOKUP(39,$I$6:$P$3099,8,FALSE)</f>
        <v/>
      </c>
      <c r="H60" s="1073">
        <f>VLOOKUP(39,$I$6:$Q$3099,9,FALSE)</f>
        <v>4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 t="str">
        <f>VLOOKUP(40,$I$6:$P$3099,8,FALSE)</f>
        <v/>
      </c>
      <c r="H61" s="1073">
        <f>VLOOKUP(40,$I$6:$Q$3099,9,FALSE)</f>
        <v>4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19.578125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Growth Regulator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Defoliant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Growth Regulator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Defoliant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1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4</v>
      </c>
    </row>
    <row r="193" spans="9:17" ht="13.9" x14ac:dyDescent="0.4">
      <c r="I193" s="1073">
        <f t="shared" ref="I193:I205" si="41">IF($A$1=4,I192+1,0)</f>
        <v>2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4</v>
      </c>
    </row>
    <row r="194" spans="9:17" ht="13.9" x14ac:dyDescent="0.4">
      <c r="I194" s="1073">
        <f t="shared" si="41"/>
        <v>3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4</v>
      </c>
    </row>
    <row r="195" spans="9:17" ht="13.9" x14ac:dyDescent="0.4">
      <c r="I195" s="1073">
        <f t="shared" si="41"/>
        <v>4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4</v>
      </c>
    </row>
    <row r="196" spans="9:17" ht="13.9" x14ac:dyDescent="0.4">
      <c r="I196" s="1073">
        <f t="shared" si="41"/>
        <v>5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4</v>
      </c>
    </row>
    <row r="197" spans="9:17" ht="15" customHeight="1" x14ac:dyDescent="0.4">
      <c r="I197" s="1073">
        <f t="shared" si="41"/>
        <v>6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4</v>
      </c>
    </row>
    <row r="198" spans="9:17" ht="15" customHeight="1" x14ac:dyDescent="0.4">
      <c r="I198" s="1073">
        <f t="shared" si="41"/>
        <v>7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4</v>
      </c>
    </row>
    <row r="199" spans="9:17" ht="13.9" x14ac:dyDescent="0.4">
      <c r="I199" s="1073">
        <f t="shared" si="41"/>
        <v>8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4</v>
      </c>
    </row>
    <row r="200" spans="9:17" ht="15" customHeight="1" x14ac:dyDescent="0.4">
      <c r="I200" s="1073">
        <f t="shared" si="41"/>
        <v>9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4</v>
      </c>
    </row>
    <row r="201" spans="9:17" ht="13.9" x14ac:dyDescent="0.4">
      <c r="I201" s="1073">
        <f t="shared" si="41"/>
        <v>10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4</v>
      </c>
    </row>
    <row r="202" spans="9:17" ht="13.9" x14ac:dyDescent="0.4">
      <c r="I202" s="1073">
        <f t="shared" si="41"/>
        <v>11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4</v>
      </c>
    </row>
    <row r="203" spans="9:17" ht="13.9" x14ac:dyDescent="0.4">
      <c r="I203" s="1073">
        <f t="shared" si="41"/>
        <v>12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4</v>
      </c>
    </row>
    <row r="204" spans="9:17" ht="13.9" x14ac:dyDescent="0.4">
      <c r="I204" s="1073">
        <f t="shared" si="41"/>
        <v>13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4</v>
      </c>
    </row>
    <row r="205" spans="9:17" ht="13.9" x14ac:dyDescent="0.4">
      <c r="I205" s="1073">
        <f t="shared" si="41"/>
        <v>14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4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15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4</v>
      </c>
    </row>
    <row r="211" spans="9:17" ht="13.9" x14ac:dyDescent="0.4">
      <c r="I211" s="1073">
        <f t="shared" ref="I211:I219" si="44">IF($A$1=4,I210+1,0)</f>
        <v>16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4</v>
      </c>
    </row>
    <row r="212" spans="9:17" ht="13.9" x14ac:dyDescent="0.4">
      <c r="I212" s="1073">
        <f t="shared" si="44"/>
        <v>17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4</v>
      </c>
    </row>
    <row r="213" spans="9:17" ht="13.9" x14ac:dyDescent="0.4">
      <c r="I213" s="1073">
        <f t="shared" si="44"/>
        <v>18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4</v>
      </c>
    </row>
    <row r="214" spans="9:17" ht="13.9" x14ac:dyDescent="0.4">
      <c r="I214" s="1073">
        <f t="shared" si="44"/>
        <v>19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4</v>
      </c>
    </row>
    <row r="215" spans="9:17" ht="13.9" x14ac:dyDescent="0.4">
      <c r="I215" s="1073">
        <f t="shared" si="44"/>
        <v>20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4</v>
      </c>
    </row>
    <row r="216" spans="9:17" ht="13.9" x14ac:dyDescent="0.4">
      <c r="I216" s="1073">
        <f t="shared" si="44"/>
        <v>21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4</v>
      </c>
    </row>
    <row r="217" spans="9:17" ht="13.9" x14ac:dyDescent="0.4">
      <c r="I217" s="1073">
        <f t="shared" si="44"/>
        <v>22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4</v>
      </c>
    </row>
    <row r="218" spans="9:17" ht="13.9" x14ac:dyDescent="0.4">
      <c r="I218" s="1073">
        <f t="shared" si="44"/>
        <v>23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4</v>
      </c>
    </row>
    <row r="219" spans="9:17" ht="13.9" x14ac:dyDescent="0.4">
      <c r="I219" s="1073">
        <f t="shared" si="44"/>
        <v>24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4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25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4</v>
      </c>
    </row>
    <row r="225" spans="9:17" ht="13.9" x14ac:dyDescent="0.4">
      <c r="I225" s="1073">
        <f>IF($A$1=4,I224+1,0)</f>
        <v>26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4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Growth Regulator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27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4</v>
      </c>
    </row>
    <row r="231" spans="9:17" ht="13.9" x14ac:dyDescent="0.4">
      <c r="I231" s="1073">
        <f t="shared" ref="I231:I236" si="48">IF($A$1=4,I230+1,0)</f>
        <v>28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4</v>
      </c>
    </row>
    <row r="232" spans="9:17" ht="13.9" x14ac:dyDescent="0.4">
      <c r="I232" s="1073">
        <f t="shared" si="48"/>
        <v>29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4</v>
      </c>
    </row>
    <row r="233" spans="9:17" ht="13.9" x14ac:dyDescent="0.4">
      <c r="I233" s="1073">
        <f t="shared" si="48"/>
        <v>30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4</v>
      </c>
    </row>
    <row r="234" spans="9:17" ht="13.9" x14ac:dyDescent="0.4">
      <c r="I234" s="1073">
        <f t="shared" si="48"/>
        <v>31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4</v>
      </c>
    </row>
    <row r="235" spans="9:17" ht="13.9" x14ac:dyDescent="0.4">
      <c r="I235" s="1073">
        <f t="shared" si="48"/>
        <v>32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4</v>
      </c>
    </row>
    <row r="236" spans="9:17" ht="13.9" x14ac:dyDescent="0.4">
      <c r="I236" s="1073">
        <f t="shared" si="48"/>
        <v>33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4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Defoliant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34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4</v>
      </c>
    </row>
    <row r="242" spans="9:17" ht="13.9" x14ac:dyDescent="0.4">
      <c r="I242" s="1073">
        <f t="shared" ref="I242:I247" si="51">IF($A$1=4,I241+1,0)</f>
        <v>35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4</v>
      </c>
    </row>
    <row r="243" spans="9:17" ht="13.9" x14ac:dyDescent="0.4">
      <c r="I243" s="1073">
        <f t="shared" si="51"/>
        <v>36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4</v>
      </c>
    </row>
    <row r="244" spans="9:17" ht="13.9" x14ac:dyDescent="0.4">
      <c r="I244" s="1073">
        <f t="shared" si="51"/>
        <v>37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4</v>
      </c>
    </row>
    <row r="245" spans="9:17" ht="13.9" x14ac:dyDescent="0.4">
      <c r="I245" s="1073">
        <f t="shared" si="51"/>
        <v>38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4</v>
      </c>
    </row>
    <row r="246" spans="9:17" ht="13.9" x14ac:dyDescent="0.4">
      <c r="I246" s="1073">
        <f t="shared" si="51"/>
        <v>39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4</v>
      </c>
    </row>
    <row r="247" spans="9:17" ht="13.9" x14ac:dyDescent="0.4">
      <c r="I247" s="1073">
        <f t="shared" si="51"/>
        <v>40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4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Growth Regulator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Defoliant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Growth Regulator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Defoliant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Growth Regulator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Defoliant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Growth Regulator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Defoliant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Growth Regulator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Defoliant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Growth Regulator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Defoliant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Growth Regulator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Defoliant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Growth Regulator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Defoliant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Growth Regulator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Defoliant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Growth Regulator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Defoliant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Growth Regulator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Defoliant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Growth Regulator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Defoliant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Growth Regulator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Defoliant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Growth Regulator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Defoliant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Growth Regulator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Defoliant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Growth Regulator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Defoliant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Growth Regulator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Defoliant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Growth Regulator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Defoliant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Growth Regulator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Defoliant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Growth Regulator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Defoliant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Growth Regulator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Defoliant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Growth Regulator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Defoliant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Growth Regulator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Defoliant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Growth Regulator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Defoliant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Growth Regulator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Defoliant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Growth Regulator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Defoliant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Growth Regulator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Defoliant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Growth Regulator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Defoliant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Growth Regulator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Defoliant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Growth Regulator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Defoliant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Growth Regulator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Defoliant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Growth Regulator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Defoliant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Growth Regulator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Defoliant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Growth Regulator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Defoliant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Growth Regulator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Defoliant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Growth Regulator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Defoliant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Growth Regulator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Defoliant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Growth Regulator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Defoliant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Growth Regulator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Defoliant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Growth Regulator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Defoliant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Growth Regulator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Defoliant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Growth Regulator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Defoliant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Growth Regulator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Defoliant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Growth Regulator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Defoliant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Growth Regulator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Defoliant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Growth Regulator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Defoliant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31. Details of Chemicals Applied, B3XF Cotton, Furrow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9" x14ac:dyDescent="0.4">
      <c r="A14" s="96" t="str">
        <f>Seed_Chemical!A22</f>
        <v>MSMA 6</v>
      </c>
      <c r="B14" s="104" t="e">
        <f>Seed_Chemical!#REF!</f>
        <v>#REF!</v>
      </c>
      <c r="C14" s="104" t="str">
        <f>Seed_Chemical!C22</f>
        <v>qt</v>
      </c>
      <c r="D14" s="96">
        <f>Seed_Chemical!D22</f>
        <v>14.375</v>
      </c>
      <c r="E14" s="96">
        <f>Seed_Chemical!E22</f>
        <v>1.5</v>
      </c>
      <c r="F14" s="96">
        <f>Seed_Chemical!F22</f>
        <v>21.5625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112.36137499999998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Centric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5.95</v>
      </c>
      <c r="E22" s="96">
        <f>Seed_Chemical!E30</f>
        <v>2</v>
      </c>
      <c r="F22" s="96">
        <f>Seed_Chemical!F30</f>
        <v>11.9</v>
      </c>
      <c r="G22" s="106" t="e">
        <f>Seed_Chemical!#REF!</f>
        <v>#REF!</v>
      </c>
    </row>
    <row r="23" spans="1:7" ht="13.9" x14ac:dyDescent="0.4">
      <c r="A23" s="96" t="str">
        <f>Seed_Chemical!A31</f>
        <v>Diamond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1.1971354166666666</v>
      </c>
      <c r="E23" s="96">
        <f>Seed_Chemical!E31</f>
        <v>6</v>
      </c>
      <c r="F23" s="96">
        <f>Seed_Chemical!F31</f>
        <v>7.1828124999999989</v>
      </c>
      <c r="G23" s="106" t="e">
        <f>Seed_Chemical!#REF!</f>
        <v>#REF!</v>
      </c>
    </row>
    <row r="24" spans="1:7" ht="13.9" x14ac:dyDescent="0.4">
      <c r="A24" s="96" t="str">
        <f>Seed_Chemical!A32</f>
        <v>Centric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5.95</v>
      </c>
      <c r="E24" s="96">
        <f>Seed_Chemical!E32</f>
        <v>2</v>
      </c>
      <c r="F24" s="96">
        <f>Seed_Chemical!F32</f>
        <v>11.9</v>
      </c>
      <c r="G24" s="106" t="e">
        <f>Seed_Chemical!#REF!</f>
        <v>#REF!</v>
      </c>
    </row>
    <row r="25" spans="1:7" ht="13.9" x14ac:dyDescent="0.4">
      <c r="A25" s="96" t="str">
        <f>Seed_Chemical!A33</f>
        <v>Diamond</v>
      </c>
      <c r="B25" s="104" t="e">
        <f>Seed_Chemical!#REF!</f>
        <v>#REF!</v>
      </c>
      <c r="C25" s="104" t="str">
        <f>Seed_Chemical!C33</f>
        <v>oz</v>
      </c>
      <c r="D25" s="96">
        <f>Seed_Chemical!D33</f>
        <v>1.1971354166666666</v>
      </c>
      <c r="E25" s="96">
        <f>Seed_Chemical!E33</f>
        <v>6</v>
      </c>
      <c r="F25" s="96">
        <f>Seed_Chemical!F33</f>
        <v>7.1828124999999989</v>
      </c>
      <c r="G25" s="106" t="e">
        <f>Seed_Chemical!#REF!</f>
        <v>#REF!</v>
      </c>
    </row>
    <row r="26" spans="1:7" ht="13.9" x14ac:dyDescent="0.4">
      <c r="A26" s="96" t="str">
        <f>Seed_Chemical!A34</f>
        <v>Transform</v>
      </c>
      <c r="B26" s="104" t="e">
        <f>Seed_Chemical!#REF!</f>
        <v>#REF!</v>
      </c>
      <c r="C26" s="104" t="str">
        <f>Seed_Chemical!C34</f>
        <v>oz</v>
      </c>
      <c r="D26" s="96">
        <f>Seed_Chemical!D34</f>
        <v>7.859375</v>
      </c>
      <c r="E26" s="96">
        <f>Seed_Chemical!E34</f>
        <v>2</v>
      </c>
      <c r="F26" s="96">
        <f>Seed_Chemical!F34</f>
        <v>15.71875</v>
      </c>
      <c r="G26" s="106" t="e">
        <f>Seed_Chemical!#REF!</f>
        <v>#REF!</v>
      </c>
    </row>
    <row r="27" spans="1:7" ht="13.9" x14ac:dyDescent="0.4">
      <c r="A27" s="96" t="str">
        <f>Seed_Chemical!A35</f>
        <v>Transform</v>
      </c>
      <c r="B27" s="104" t="e">
        <f>Seed_Chemical!#REF!</f>
        <v>#REF!</v>
      </c>
      <c r="C27" s="104" t="str">
        <f>Seed_Chemical!C35</f>
        <v>oz</v>
      </c>
      <c r="D27" s="96">
        <f>Seed_Chemical!D35</f>
        <v>7.859375</v>
      </c>
      <c r="E27" s="96">
        <f>Seed_Chemical!E35</f>
        <v>2</v>
      </c>
      <c r="F27" s="96">
        <f>Seed_Chemical!F35</f>
        <v>15.71875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69.603125000000006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Growth Regulator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Mepiquat</v>
      </c>
      <c r="B42" s="104" t="e">
        <f>Seed_Chemical!#REF!</f>
        <v>#REF!</v>
      </c>
      <c r="C42" s="104" t="str">
        <f>Seed_Chemical!C50</f>
        <v>oz</v>
      </c>
      <c r="D42" s="96">
        <f>Seed_Chemical!D50</f>
        <v>4.9796874999999997E-2</v>
      </c>
      <c r="E42" s="96">
        <f>Seed_Chemical!E50</f>
        <v>16</v>
      </c>
      <c r="F42" s="96">
        <f>Seed_Chemical!F50</f>
        <v>0.79674999999999996</v>
      </c>
      <c r="G42" s="106" t="e">
        <f>Seed_Chemical!#REF!</f>
        <v>#REF!</v>
      </c>
    </row>
    <row r="43" spans="1:7" ht="13.9" x14ac:dyDescent="0.4">
      <c r="A43" s="96" t="str">
        <f>Seed_Chemical!A51</f>
        <v>Mepiquat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4.9796874999999997E-2</v>
      </c>
      <c r="E43" s="96">
        <f>Seed_Chemical!E51</f>
        <v>20</v>
      </c>
      <c r="F43" s="96">
        <f>Seed_Chemical!F51</f>
        <v>0.99593749999999992</v>
      </c>
      <c r="G43" s="106" t="e">
        <f>Seed_Chemical!#REF!</f>
        <v>#REF!</v>
      </c>
    </row>
    <row r="44" spans="1:7" ht="13.9" x14ac:dyDescent="0.4">
      <c r="A44" s="96" t="str">
        <f>Seed_Chemical!A52</f>
        <v>Mepiquat</v>
      </c>
      <c r="B44" s="104" t="e">
        <f>Seed_Chemical!#REF!</f>
        <v>#REF!</v>
      </c>
      <c r="C44" s="104" t="str">
        <f>Seed_Chemical!C52</f>
        <v>oz</v>
      </c>
      <c r="D44" s="96">
        <f>Seed_Chemical!D52</f>
        <v>4.9796874999999997E-2</v>
      </c>
      <c r="E44" s="96">
        <f>Seed_Chemical!E52</f>
        <v>20</v>
      </c>
      <c r="F44" s="96">
        <f>Seed_Chemical!F52</f>
        <v>0.99593749999999992</v>
      </c>
      <c r="G44" s="106" t="e">
        <f>Seed_Chemical!#REF!</f>
        <v>#REF!</v>
      </c>
    </row>
    <row r="45" spans="1:7" ht="13.9" x14ac:dyDescent="0.4">
      <c r="A45" s="96" t="str">
        <f>Seed_Chemical!A53</f>
        <v>Mepiquat</v>
      </c>
      <c r="B45" s="104" t="e">
        <f>Seed_Chemical!#REF!</f>
        <v>#REF!</v>
      </c>
      <c r="C45" s="104" t="str">
        <f>Seed_Chemical!C53</f>
        <v>oz</v>
      </c>
      <c r="D45" s="96">
        <f>Seed_Chemical!D53</f>
        <v>4.9796874999999997E-2</v>
      </c>
      <c r="E45" s="96">
        <f>Seed_Chemical!E53</f>
        <v>20</v>
      </c>
      <c r="F45" s="96">
        <f>Seed_Chemical!F53</f>
        <v>0.99593749999999992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3.7845624999999998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Defoliant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Dropp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0.78125</v>
      </c>
      <c r="E53" s="96">
        <f>Seed_Chemical!E61</f>
        <v>2</v>
      </c>
      <c r="F53" s="96">
        <f>Seed_Chemical!F61</f>
        <v>1.5625</v>
      </c>
      <c r="G53" s="106" t="e">
        <f>Seed_Chemical!#REF!</f>
        <v>#REF!</v>
      </c>
    </row>
    <row r="54" spans="1:7" ht="13.9" x14ac:dyDescent="0.4">
      <c r="A54" s="96" t="str">
        <f>Seed_Chemical!A62</f>
        <v>Folex</v>
      </c>
      <c r="B54" s="104" t="e">
        <f>Seed_Chemical!#REF!</f>
        <v>#REF!</v>
      </c>
      <c r="C54" s="104" t="str">
        <f>Seed_Chemical!C62</f>
        <v>oz</v>
      </c>
      <c r="D54" s="96">
        <f>Seed_Chemical!D62</f>
        <v>0.5234375</v>
      </c>
      <c r="E54" s="96">
        <f>Seed_Chemical!E62</f>
        <v>6</v>
      </c>
      <c r="F54" s="96">
        <f>Seed_Chemical!F62</f>
        <v>3.140625</v>
      </c>
      <c r="G54" s="106" t="e">
        <f>Seed_Chemical!#REF!</f>
        <v>#REF!</v>
      </c>
    </row>
    <row r="55" spans="1:7" ht="13.9" x14ac:dyDescent="0.4">
      <c r="A55" s="96" t="str">
        <f>Seed_Chemical!A63</f>
        <v>Prep</v>
      </c>
      <c r="B55" s="104" t="e">
        <f>Seed_Chemical!#REF!</f>
        <v>#REF!</v>
      </c>
      <c r="C55" s="104" t="str">
        <f>Seed_Chemical!C63</f>
        <v>oz</v>
      </c>
      <c r="D55" s="96">
        <f>Seed_Chemical!D63</f>
        <v>0.28125</v>
      </c>
      <c r="E55" s="96">
        <f>Seed_Chemical!E63</f>
        <v>6</v>
      </c>
      <c r="F55" s="96">
        <f>Seed_Chemical!F63</f>
        <v>1.6875</v>
      </c>
      <c r="G55" s="106" t="e">
        <f>Seed_Chemical!#REF!</f>
        <v>#REF!</v>
      </c>
    </row>
    <row r="56" spans="1:7" ht="13.9" x14ac:dyDescent="0.4">
      <c r="A56" s="96" t="str">
        <f>Seed_Chemical!A64</f>
        <v>Folex</v>
      </c>
      <c r="B56" s="104" t="e">
        <f>Seed_Chemical!#REF!</f>
        <v>#REF!</v>
      </c>
      <c r="C56" s="104" t="str">
        <f>Seed_Chemical!C64</f>
        <v>oz</v>
      </c>
      <c r="D56" s="96">
        <f>Seed_Chemical!D64</f>
        <v>0.5234375</v>
      </c>
      <c r="E56" s="96">
        <f>Seed_Chemical!E64</f>
        <v>8</v>
      </c>
      <c r="F56" s="96">
        <f>Seed_Chemical!F64</f>
        <v>4.1875</v>
      </c>
      <c r="G56" s="106" t="e">
        <f>Seed_Chemical!#REF!</f>
        <v>#REF!</v>
      </c>
    </row>
    <row r="57" spans="1:7" ht="13.9" x14ac:dyDescent="0.4">
      <c r="A57" s="96" t="str">
        <f>Seed_Chemical!A65</f>
        <v>Prep</v>
      </c>
      <c r="B57" s="104" t="e">
        <f>Seed_Chemical!#REF!</f>
        <v>#REF!</v>
      </c>
      <c r="C57" s="104" t="str">
        <f>Seed_Chemical!C65</f>
        <v>oz</v>
      </c>
      <c r="D57" s="96">
        <f>Seed_Chemical!D65</f>
        <v>0.28125</v>
      </c>
      <c r="E57" s="96">
        <f>Seed_Chemical!E65</f>
        <v>32</v>
      </c>
      <c r="F57" s="96">
        <f>Seed_Chemical!F65</f>
        <v>9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19.578125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31. Details of Chemicals Applied, B3XF Cotton, Furrow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112.36137499999998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Centric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5.95</v>
      </c>
      <c r="E18" s="96">
        <f>Seed_Chemical!E30</f>
        <v>2</v>
      </c>
      <c r="F18" s="96">
        <f>Seed_Chemical!F30</f>
        <v>11.9</v>
      </c>
      <c r="G18" s="106" t="e">
        <f>Seed_Chemical!#REF!</f>
        <v>#REF!</v>
      </c>
    </row>
    <row r="19" spans="1:7" ht="13.9" x14ac:dyDescent="0.4">
      <c r="A19" s="96" t="str">
        <f>Seed_Chemical!A31</f>
        <v>Diamond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1.1971354166666666</v>
      </c>
      <c r="E19" s="96">
        <f>Seed_Chemical!E31</f>
        <v>6</v>
      </c>
      <c r="F19" s="96">
        <f>Seed_Chemical!F31</f>
        <v>7.1828124999999989</v>
      </c>
      <c r="G19" s="106" t="e">
        <f>Seed_Chemical!#REF!</f>
        <v>#REF!</v>
      </c>
    </row>
    <row r="20" spans="1:7" ht="13.9" x14ac:dyDescent="0.4">
      <c r="A20" s="96" t="str">
        <f>Seed_Chemical!A32</f>
        <v>Centric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5.95</v>
      </c>
      <c r="E20" s="96">
        <f>Seed_Chemical!E32</f>
        <v>2</v>
      </c>
      <c r="F20" s="96">
        <f>Seed_Chemical!F32</f>
        <v>11.9</v>
      </c>
      <c r="G20" s="106" t="e">
        <f>Seed_Chemical!#REF!</f>
        <v>#REF!</v>
      </c>
    </row>
    <row r="21" spans="1:7" ht="13.9" x14ac:dyDescent="0.4">
      <c r="A21" s="96" t="str">
        <f>Seed_Chemical!A33</f>
        <v>Diamond</v>
      </c>
      <c r="B21" s="104" t="e">
        <f>Seed_Chemical!#REF!</f>
        <v>#REF!</v>
      </c>
      <c r="C21" s="104" t="str">
        <f>Seed_Chemical!C33</f>
        <v>oz</v>
      </c>
      <c r="D21" s="96">
        <f>Seed_Chemical!D33</f>
        <v>1.1971354166666666</v>
      </c>
      <c r="E21" s="96">
        <f>Seed_Chemical!E33</f>
        <v>6</v>
      </c>
      <c r="F21" s="96">
        <f>Seed_Chemical!F33</f>
        <v>7.1828124999999989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69.603125000000006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Growth Regulator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Mepiquat</v>
      </c>
      <c r="B31" s="104" t="e">
        <f>Seed_Chemical!#REF!</f>
        <v>#REF!</v>
      </c>
      <c r="C31" s="104" t="str">
        <f>Seed_Chemical!C50</f>
        <v>oz</v>
      </c>
      <c r="D31" s="96">
        <f>Seed_Chemical!D50</f>
        <v>4.9796874999999997E-2</v>
      </c>
      <c r="E31" s="96">
        <f>Seed_Chemical!E50</f>
        <v>16</v>
      </c>
      <c r="F31" s="96">
        <f>Seed_Chemical!F50</f>
        <v>0.79674999999999996</v>
      </c>
      <c r="G31" s="106" t="e">
        <f>Seed_Chemical!#REF!</f>
        <v>#REF!</v>
      </c>
    </row>
    <row r="32" spans="1:7" ht="13.9" x14ac:dyDescent="0.4">
      <c r="A32" s="96" t="str">
        <f>Seed_Chemical!A51</f>
        <v>Mepiquat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4.9796874999999997E-2</v>
      </c>
      <c r="E32" s="96">
        <f>Seed_Chemical!E51</f>
        <v>20</v>
      </c>
      <c r="F32" s="96">
        <f>Seed_Chemical!F51</f>
        <v>0.99593749999999992</v>
      </c>
      <c r="G32" s="106" t="e">
        <f>Seed_Chemical!#REF!</f>
        <v>#REF!</v>
      </c>
    </row>
    <row r="33" spans="1:7" ht="13.9" x14ac:dyDescent="0.4">
      <c r="A33" s="96" t="str">
        <f>Seed_Chemical!A52</f>
        <v>Mepiquat</v>
      </c>
      <c r="B33" s="104" t="e">
        <f>Seed_Chemical!#REF!</f>
        <v>#REF!</v>
      </c>
      <c r="C33" s="104" t="str">
        <f>Seed_Chemical!C52</f>
        <v>oz</v>
      </c>
      <c r="D33" s="96">
        <f>Seed_Chemical!D52</f>
        <v>4.9796874999999997E-2</v>
      </c>
      <c r="E33" s="96">
        <f>Seed_Chemical!E52</f>
        <v>20</v>
      </c>
      <c r="F33" s="96">
        <f>Seed_Chemical!F52</f>
        <v>0.99593749999999992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3.7845624999999998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Defoliant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Dropp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0.78125</v>
      </c>
      <c r="E38" s="96">
        <f>Seed_Chemical!E61</f>
        <v>2</v>
      </c>
      <c r="F38" s="96">
        <f>Seed_Chemical!F61</f>
        <v>1.5625</v>
      </c>
      <c r="G38" s="106" t="e">
        <f>Seed_Chemical!#REF!</f>
        <v>#REF!</v>
      </c>
    </row>
    <row r="39" spans="1:7" ht="13.9" x14ac:dyDescent="0.4">
      <c r="A39" s="96" t="str">
        <f>Seed_Chemical!A62</f>
        <v>Folex</v>
      </c>
      <c r="B39" s="104" t="e">
        <f>Seed_Chemical!#REF!</f>
        <v>#REF!</v>
      </c>
      <c r="C39" s="104" t="str">
        <f>Seed_Chemical!C62</f>
        <v>oz</v>
      </c>
      <c r="D39" s="96">
        <f>Seed_Chemical!D62</f>
        <v>0.5234375</v>
      </c>
      <c r="E39" s="96">
        <f>Seed_Chemical!E62</f>
        <v>6</v>
      </c>
      <c r="F39" s="96">
        <f>Seed_Chemical!F62</f>
        <v>3.140625</v>
      </c>
      <c r="G39" s="106" t="e">
        <f>Seed_Chemical!#REF!</f>
        <v>#REF!</v>
      </c>
    </row>
    <row r="40" spans="1:7" ht="13.9" x14ac:dyDescent="0.4">
      <c r="A40" s="96" t="str">
        <f>Seed_Chemical!A63</f>
        <v>Prep</v>
      </c>
      <c r="B40" s="104" t="e">
        <f>Seed_Chemical!#REF!</f>
        <v>#REF!</v>
      </c>
      <c r="C40" s="104" t="str">
        <f>Seed_Chemical!C63</f>
        <v>oz</v>
      </c>
      <c r="D40" s="96">
        <f>Seed_Chemical!D63</f>
        <v>0.28125</v>
      </c>
      <c r="E40" s="96">
        <f>Seed_Chemical!E63</f>
        <v>6</v>
      </c>
      <c r="F40" s="96">
        <f>Seed_Chemical!F63</f>
        <v>1.6875</v>
      </c>
      <c r="G40" s="106" t="e">
        <f>Seed_Chemical!#REF!</f>
        <v>#REF!</v>
      </c>
    </row>
    <row r="41" spans="1:7" ht="13.9" x14ac:dyDescent="0.4">
      <c r="A41" s="96" t="str">
        <f>Seed_Chemical!A64</f>
        <v>Folex</v>
      </c>
      <c r="B41" s="104" t="e">
        <f>Seed_Chemical!#REF!</f>
        <v>#REF!</v>
      </c>
      <c r="C41" s="104" t="str">
        <f>Seed_Chemical!C64</f>
        <v>oz</v>
      </c>
      <c r="D41" s="96">
        <f>Seed_Chemical!D64</f>
        <v>0.5234375</v>
      </c>
      <c r="E41" s="96">
        <f>Seed_Chemical!E64</f>
        <v>8</v>
      </c>
      <c r="F41" s="96">
        <f>Seed_Chemical!F64</f>
        <v>4.1875</v>
      </c>
      <c r="G41" s="106" t="e">
        <f>Seed_Chemical!#REF!</f>
        <v>#REF!</v>
      </c>
    </row>
    <row r="42" spans="1:7" ht="13.9" x14ac:dyDescent="0.4">
      <c r="A42" s="96" t="str">
        <f>Seed_Chemical!A65</f>
        <v>Prep</v>
      </c>
      <c r="B42" s="104" t="e">
        <f>Seed_Chemical!#REF!</f>
        <v>#REF!</v>
      </c>
      <c r="C42" s="104" t="str">
        <f>Seed_Chemical!C65</f>
        <v>oz</v>
      </c>
      <c r="D42" s="96">
        <f>Seed_Chemical!D65</f>
        <v>0.28125</v>
      </c>
      <c r="E42" s="96">
        <f>Seed_Chemical!E65</f>
        <v>32</v>
      </c>
      <c r="F42" s="96">
        <f>Seed_Chemical!F65</f>
        <v>9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19.578125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