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34AD7D8E-5C78-4742-BFFF-8AA85408D1D5}" xr6:coauthVersionLast="47" xr6:coauthVersionMax="47" xr10:uidLastSave="{00000000-0000-0000-0000-000000000000}"/>
  <bookViews>
    <workbookView xWindow="390" yWindow="135" windowWidth="22905" windowHeight="15180" activeTab="1" xr2:uid="{DD0B4F2E-C657-4A82-A6B5-FE7724EBB8AD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 l="1"/>
  <c r="F17" i="1"/>
  <c r="F16" i="1"/>
  <c r="F15" i="1"/>
  <c r="F14" i="1"/>
  <c r="F13" i="1"/>
  <c r="F12" i="1"/>
  <c r="F11" i="1"/>
  <c r="F10" i="1"/>
  <c r="F9" i="1"/>
  <c r="F8" i="1"/>
  <c r="F7" i="1"/>
  <c r="F6" i="1"/>
  <c r="A56" i="1"/>
  <c r="A55" i="1"/>
  <c r="A54" i="1"/>
  <c r="A49" i="1"/>
  <c r="F48" i="1"/>
  <c r="F43" i="1"/>
  <c r="F42" i="1"/>
  <c r="B42" i="1"/>
  <c r="A42" i="1"/>
  <c r="F41" i="1"/>
  <c r="A41" i="1"/>
  <c r="F40" i="1"/>
  <c r="A40" i="1"/>
  <c r="F39" i="1"/>
  <c r="A39" i="1"/>
  <c r="A38" i="1"/>
  <c r="F37" i="1"/>
  <c r="A36" i="1"/>
  <c r="F35" i="1"/>
  <c r="F34" i="1"/>
  <c r="A34" i="1"/>
  <c r="F33" i="1"/>
  <c r="F32" i="1"/>
  <c r="F31" i="1"/>
  <c r="A31" i="1"/>
  <c r="F30" i="1"/>
  <c r="F27" i="1"/>
  <c r="F26" i="1"/>
  <c r="F25" i="1"/>
  <c r="F24" i="1"/>
  <c r="F22" i="1"/>
  <c r="A22" i="1"/>
  <c r="F21" i="1"/>
  <c r="A21" i="1"/>
  <c r="F20" i="1"/>
  <c r="A20" i="1"/>
  <c r="F19" i="1"/>
  <c r="A19" i="1"/>
  <c r="A18" i="1"/>
  <c r="A17" i="1"/>
  <c r="A16" i="1"/>
  <c r="A15" i="1"/>
  <c r="A12" i="1"/>
  <c r="A11" i="1"/>
  <c r="A10" i="1"/>
  <c r="A9" i="1"/>
  <c r="A8" i="1"/>
  <c r="F49" i="1" l="1"/>
  <c r="F47" i="1"/>
  <c r="F28" i="1"/>
  <c r="F29" i="1"/>
  <c r="F36" i="1" l="1"/>
  <c r="F44" i="1" s="1"/>
  <c r="F50" i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657EC5C6-3A2C-4685-A9D7-DFA5358939CA}">
      <text>
        <r>
          <rPr>
            <sz val="9"/>
            <color indexed="81"/>
            <rFont val="Tahoma"/>
            <family val="2"/>
          </rPr>
          <t xml:space="preserve">Seeding rate of 150,000 seed per acre at $0.55/thousand seed.
</t>
        </r>
      </text>
    </comment>
    <comment ref="F13" authorId="0" shapeId="0" xr:uid="{76784FEE-A4B4-4188-B648-B0FAF3C13A0A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1 qt Boundary at $18.17/qt
32 oz Gramoxone at $0.22/oz
32 oz Liberty at $0.49/oz
3.5 oz Zidua SC at $5.75/oz
32 oz Liberty at $0.49/oz
12.8 oz Outlook at $1.10/oz
</t>
        </r>
      </text>
    </comment>
    <comment ref="F14" authorId="0" shapeId="0" xr:uid="{8150EE64-A6C7-41B2-80D2-2671E45C96EF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80AEC68C-9B81-4EEC-9893-CF823EF65700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<sst xmlns="http://schemas.openxmlformats.org/spreadsheetml/2006/main" count="143" uniqueCount="87">
  <si>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</si>
  <si>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</si>
  <si>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</si>
  <si>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</si>
  <si>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</si>
  <si>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</si>
  <si>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</si>
  <si>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</si>
  <si>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</si>
  <si>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</si>
  <si>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</si>
  <si>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</si>
  <si>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</si>
  <si>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</si>
  <si>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</si>
  <si>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</si>
  <si>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</si>
  <si>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</si>
  <si>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</si>
  <si>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</si>
  <si>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</si>
  <si>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</si>
  <si>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</si>
  <si>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</si>
  <si>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</si>
  <si>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</si>
  <si>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</si>
  <si>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</si>
  <si>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</si>
  <si>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</si>
  <si>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</si>
  <si>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</si>
  <si>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</si>
  <si>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</si>
  <si>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</si>
  <si>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</si>
  <si>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</si>
  <si>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</si>
  <si>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</si>
  <si>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</si>
  <si>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</si>
  <si>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**See field activities tab for a breakdown of equipment usage.</t>
  </si>
  <si>
    <t>Field Trip</t>
  </si>
  <si>
    <t>Width</t>
  </si>
  <si>
    <t>Activity</t>
  </si>
  <si>
    <t>LL</t>
  </si>
  <si>
    <t>Estimated Costs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</si>
  <si>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</si>
  <si>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</si>
  <si>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</si>
  <si>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</si>
  <si>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</si>
  <si>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</si>
  <si>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</si>
  <si>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</si>
  <si>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</si>
  <si>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</si>
  <si>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</si>
  <si>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</si>
  <si>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</si>
  <si>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</si>
  <si>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</si>
  <si>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</si>
  <si>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</si>
  <si>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</si>
  <si>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</si>
  <si>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32 oz Liberty, 3.5 oz Zidua SC</t>
  </si>
  <si>
    <t>Irrigation Sweep</t>
  </si>
  <si>
    <t>Irrigation Polypipe Spool</t>
  </si>
  <si>
    <t xml:space="preserve"> Total Season Activities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</si>
  <si>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</si>
  <si>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</si>
  <si>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</si>
  <si>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</si>
  <si>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</si>
  <si>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</si>
  <si>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</si>
  <si>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</si>
  <si>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</si>
  <si>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</si>
  <si>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</si>
  <si>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</si>
  <si>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Table 37. 2022 Soybean Enterprise Budget, LL, Furrow Irrigation</t>
  </si>
  <si>
    <t>Table A-37. Soybean Field Activities, LL, Furrow Irrigation</t>
  </si>
  <si>
    <t>Bu.</t>
  </si>
  <si>
    <t>Lbs/ac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</si>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</sst>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2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9" xfId="0" applyFill="1" applyBorder="1"/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167" fontId="18" fillId="3" borderId="15" xfId="1" applyNumberFormat="1" applyFont="1" applyFill="1" applyBorder="1" applyAlignment="1">
      <alignment horizontal="center"/>
    </xf>
    <xf numFmtId="0" fontId="17" fillId="3" borderId="16" xfId="0" applyFont="1" applyFill="1" applyBorder="1"/>
    <xf numFmtId="0" fontId="17" fillId="3" borderId="17" xfId="0" applyFont="1" applyFill="1" applyBorder="1"/>
    <xf numFmtId="0" fontId="17" fillId="3" borderId="15" xfId="0" applyFont="1" applyFill="1" applyBorder="1" applyAlignment="1">
      <alignment horizontal="center"/>
    </xf>
    <xf numFmtId="167" fontId="18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20" xfId="0" applyFont="1" applyFill="1" applyBorder="1"/>
    <xf numFmtId="0" fontId="19" fillId="3" borderId="0" xfId="0" applyFont="1" applyFill="1"/>
    <xf numFmtId="0" fontId="17" fillId="3" borderId="21" xfId="0" applyFont="1" applyFill="1" applyBorder="1"/>
    <xf numFmtId="0" fontId="18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167" fontId="18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26" xfId="0" applyFont="1" applyFill="1" applyBorder="1"/>
    <xf numFmtId="167" fontId="18" fillId="3" borderId="26" xfId="0" applyNumberFormat="1" applyFont="1" applyFill="1" applyBorder="1" applyAlignment="1">
      <alignment horizontal="center"/>
    </xf>
    <xf numFmtId="0" fontId="17" fillId="3" borderId="25" xfId="0" applyFont="1" applyFill="1" applyBorder="1"/>
    <xf numFmtId="167" fontId="18" fillId="0" borderId="25" xfId="0" applyNumberFormat="1" applyFont="1" applyBorder="1" applyAlignment="1">
      <alignment horizontal="center"/>
    </xf>
    <xf numFmtId="0" fontId="17" fillId="3" borderId="27" xfId="0" applyFont="1" applyFill="1" applyBorder="1"/>
    <xf numFmtId="0" fontId="17" fillId="3" borderId="7" xfId="0" applyFont="1" applyFill="1" applyBorder="1"/>
    <xf numFmtId="0" fontId="17" fillId="3" borderId="23" xfId="0" applyFont="1" applyFill="1" applyBorder="1"/>
    <xf numFmtId="167" fontId="18" fillId="3" borderId="23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4" fontId="10" fillId="2" borderId="28" xfId="0" applyNumberFormat="1" applyFont="1" applyFill="1" applyBorder="1" applyAlignment="1">
      <alignment horizontal="right"/>
    </xf>
    <xf numFmtId="0" fontId="0" fillId="3" borderId="29" xfId="0" applyFill="1" applyBorder="1"/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2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19_SoybeanLL_Furrow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Sheet1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  <row r="9">
          <cell r="B9">
            <v>1</v>
          </cell>
        </row>
        <row r="10">
          <cell r="B10">
            <v>0</v>
          </cell>
        </row>
        <row r="13">
          <cell r="B13">
            <v>0</v>
          </cell>
        </row>
        <row r="14">
          <cell r="B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 t="str">
            <v>Fungicide</v>
          </cell>
        </row>
        <row r="17">
          <cell r="C17" t="str">
            <v>Other Chemical</v>
          </cell>
        </row>
        <row r="18">
          <cell r="C18" t="str">
            <v>Other Chemical</v>
          </cell>
        </row>
        <row r="21">
          <cell r="C21" t="str">
            <v>Pre-Harvest Custom Operations</v>
          </cell>
        </row>
        <row r="24">
          <cell r="C24" t="str">
            <v xml:space="preserve">   Ground Application: Fertilizer &amp; Chemical</v>
          </cell>
        </row>
        <row r="25">
          <cell r="C25" t="str">
            <v xml:space="preserve">   Air Application: Fertilizer &amp; Chemical</v>
          </cell>
        </row>
        <row r="26">
          <cell r="C26" t="str">
            <v xml:space="preserve">   Air Application: Lbs.</v>
          </cell>
        </row>
        <row r="27">
          <cell r="C27" t="str">
            <v xml:space="preserve">   Other Custom Hire, Air Seeding</v>
          </cell>
        </row>
        <row r="30">
          <cell r="C30" t="str">
            <v>Other Inputs</v>
          </cell>
        </row>
        <row r="31">
          <cell r="C31" t="str">
            <v>Other Expenses</v>
          </cell>
        </row>
        <row r="34">
          <cell r="C34" t="str">
            <v>Interest, Annual Rate Applied for 6 Months</v>
          </cell>
        </row>
        <row r="44">
          <cell r="C44" t="str">
            <v xml:space="preserve">    Expense</v>
          </cell>
        </row>
        <row r="59">
          <cell r="B59" t="str">
            <v>Note 1: Yield and inputs are based on Extension research data. Enter expected farm yield and inputs.</v>
          </cell>
        </row>
        <row r="67">
          <cell r="B67" t="str">
            <v>Note 3: Boll weevil eradication fee is $3 in Arkansas.</v>
          </cell>
        </row>
        <row r="73">
          <cell r="B73" t="str">
            <v xml:space="preserve">Note 2: All price estimates do NOT include rebates, bulk deals, or discounts available through suppliers.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22.677716691729326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40.394682857142861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24">
          <cell r="D24" t="str">
            <v>Post-Harvest Expenses</v>
          </cell>
        </row>
        <row r="27">
          <cell r="B27" t="str">
            <v xml:space="preserve">   Drying</v>
          </cell>
        </row>
        <row r="28">
          <cell r="B28" t="str">
            <v xml:space="preserve">   Hauling</v>
          </cell>
        </row>
        <row r="29">
          <cell r="B29" t="str">
            <v xml:space="preserve">   Check Off, Boards</v>
          </cell>
        </row>
        <row r="45">
          <cell r="B45" t="str">
            <v>Note 3: Estimate based on machinery and equipment.</v>
          </cell>
        </row>
      </sheetData>
      <sheetData sheetId="22">
        <row r="4">
          <cell r="B4" t="str">
            <v>Phosphate (0-46-0)</v>
          </cell>
        </row>
        <row r="5">
          <cell r="B5" t="str">
            <v>Potash (0-0-60)</v>
          </cell>
        </row>
        <row r="6">
          <cell r="B6" t="str">
            <v>Ammonium Sulfate (21-0-0-24)</v>
          </cell>
        </row>
        <row r="7">
          <cell r="B7" t="str">
            <v>Boron 15%</v>
          </cell>
        </row>
        <row r="8">
          <cell r="B8" t="str">
            <v>Other Nutrients, Including Poultry Litter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F28B4-BA78-449D-B3B2-2E22DC4E2FDC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29.28515625" bestFit="1" customWidth="1"/>
    <col min="5" max="5" width="21.7109375" bestFit="1" customWidth="1"/>
  </cols>
  <sheetData>
    <row r="1" spans="1:26" ht="15.75" customHeight="1" thickBot="1" x14ac:dyDescent="0.3">
      <c r="A1" s="109"/>
      <c r="B1" s="109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83</v>
      </c>
      <c r="B2" s="111"/>
      <c r="C2" s="111"/>
      <c r="D2" s="111"/>
      <c r="E2" s="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9" t="s">
        <v>42</v>
      </c>
      <c r="B3" s="70" t="s">
        <v>43</v>
      </c>
      <c r="C3" s="69" t="s">
        <v>44</v>
      </c>
      <c r="D3" s="71" t="s">
        <v>45</v>
      </c>
      <c r="E3" s="72" t="s"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3" t="s">
        <v>47</v>
      </c>
      <c r="B4" s="74" t="s">
        <v>48</v>
      </c>
      <c r="C4" s="75" t="s">
        <v>49</v>
      </c>
      <c r="D4" s="73"/>
      <c r="E4" s="76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7" t="s">
        <v>50</v>
      </c>
      <c r="B5" s="78" t="s">
        <v>51</v>
      </c>
      <c r="C5" s="79" t="s">
        <v>49</v>
      </c>
      <c r="D5" s="77"/>
      <c r="E5" s="80">
        <v>6.2792234238338898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1" t="s">
        <v>52</v>
      </c>
      <c r="B6" s="82" t="s">
        <v>53</v>
      </c>
      <c r="C6" s="79" t="s">
        <v>54</v>
      </c>
      <c r="D6" s="83" t="s">
        <v>55</v>
      </c>
      <c r="E6" s="80">
        <v>16.236883644599509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7" t="s">
        <v>50</v>
      </c>
      <c r="B7" s="78" t="s">
        <v>51</v>
      </c>
      <c r="C7" s="84" t="s">
        <v>56</v>
      </c>
      <c r="D7" s="83"/>
      <c r="E7" s="80">
        <v>6.2792234238338898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1" t="s">
        <v>57</v>
      </c>
      <c r="B8" s="82" t="s">
        <v>58</v>
      </c>
      <c r="C8" s="85" t="s">
        <v>59</v>
      </c>
      <c r="D8" s="83" t="s">
        <v>60</v>
      </c>
      <c r="E8" s="80">
        <v>88.86007177170211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7" t="s">
        <v>61</v>
      </c>
      <c r="B9" s="78" t="s">
        <v>51</v>
      </c>
      <c r="C9" s="85" t="s">
        <v>56</v>
      </c>
      <c r="D9" s="83"/>
      <c r="E9" s="80">
        <v>2.9414820599926936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7" t="s">
        <v>62</v>
      </c>
      <c r="B10" s="78" t="s">
        <v>51</v>
      </c>
      <c r="C10" s="85" t="s">
        <v>63</v>
      </c>
      <c r="D10" s="83" t="s">
        <v>64</v>
      </c>
      <c r="E10" s="80">
        <v>92.940261548754606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7" t="s">
        <v>52</v>
      </c>
      <c r="B11" s="86" t="s">
        <v>53</v>
      </c>
      <c r="C11" s="85" t="s">
        <v>15</v>
      </c>
      <c r="D11" s="83" t="s">
        <v>65</v>
      </c>
      <c r="E11" s="80">
        <v>29.60688364459951</v>
      </c>
      <c r="F11" s="3"/>
      <c r="G11" s="3"/>
      <c r="H11" s="3"/>
      <c r="I11" s="8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81" t="s">
        <v>52</v>
      </c>
      <c r="B12" s="82" t="s">
        <v>53</v>
      </c>
      <c r="C12" s="85" t="s">
        <v>15</v>
      </c>
      <c r="D12" s="83" t="s">
        <v>66</v>
      </c>
      <c r="E12" s="80">
        <v>40.201883644599505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7" t="s">
        <v>67</v>
      </c>
      <c r="B13" s="78" t="s">
        <v>51</v>
      </c>
      <c r="C13" s="85" t="s">
        <v>56</v>
      </c>
      <c r="D13" s="83"/>
      <c r="E13" s="80">
        <v>3.5539188382003299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77" t="s">
        <v>68</v>
      </c>
      <c r="B14" s="78"/>
      <c r="C14" s="85" t="s">
        <v>69</v>
      </c>
      <c r="D14" s="83"/>
      <c r="E14" s="80">
        <v>3.88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77" t="s">
        <v>52</v>
      </c>
      <c r="B15" s="86" t="s">
        <v>53</v>
      </c>
      <c r="C15" s="85" t="s">
        <v>15</v>
      </c>
      <c r="D15" s="83" t="s">
        <v>70</v>
      </c>
      <c r="E15" s="80">
        <v>34.15688364459951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1" t="s">
        <v>71</v>
      </c>
      <c r="B16" s="82"/>
      <c r="C16" s="85" t="s">
        <v>16</v>
      </c>
      <c r="D16" s="83" t="s">
        <v>72</v>
      </c>
      <c r="E16" s="80">
        <v>29.419999999999998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thickBot="1" x14ac:dyDescent="0.25">
      <c r="A17" s="88" t="s">
        <v>71</v>
      </c>
      <c r="B17" s="89"/>
      <c r="C17" s="90" t="s">
        <v>73</v>
      </c>
      <c r="D17" s="83" t="s">
        <v>74</v>
      </c>
      <c r="E17" s="91">
        <v>31.700000000000003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81" t="s">
        <v>75</v>
      </c>
      <c r="B18" s="82" t="s">
        <v>76</v>
      </c>
      <c r="C18" s="92" t="s">
        <v>77</v>
      </c>
      <c r="D18" s="93"/>
      <c r="E18" s="94">
        <v>17.881574328152702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81" t="s">
        <v>78</v>
      </c>
      <c r="B19" s="82" t="s">
        <v>79</v>
      </c>
      <c r="C19" s="92" t="s">
        <v>77</v>
      </c>
      <c r="D19" s="95"/>
      <c r="E19" s="96">
        <v>1.9534425333562258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97" t="s">
        <v>80</v>
      </c>
      <c r="B20" s="98"/>
      <c r="C20" s="90" t="s">
        <v>77</v>
      </c>
      <c r="D20" s="99"/>
      <c r="E20" s="100">
        <v>6.050111419456794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01" t="s">
        <v>81</v>
      </c>
      <c r="B21" s="82"/>
      <c r="C21" s="102"/>
      <c r="D21" s="8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2"/>
      <c r="B22" s="82"/>
      <c r="C22" s="102"/>
      <c r="D22" s="8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82"/>
      <c r="B23" s="82"/>
      <c r="C23" s="102"/>
      <c r="D23" s="8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6FB1-1A26-476F-B8A8-C42228907988}">
  <sheetPr>
    <pageSetUpPr fitToPage="1"/>
  </sheetPr>
  <dimension ref="A1:Z60791"/>
  <sheetViews>
    <sheetView tabSelected="1" zoomScaleNormal="100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5" customWidth="1"/>
    <col min="9" max="9" width="8.7109375" style="45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6" t="s">
        <v>82</v>
      </c>
      <c r="B1" s="66"/>
      <c r="C1" s="66"/>
      <c r="D1" s="66"/>
      <c r="E1" s="66"/>
      <c r="F1" s="67"/>
      <c r="G1" s="1"/>
      <c r="H1" s="23"/>
      <c r="I1" s="23"/>
      <c r="J1" s="23"/>
      <c r="K1" s="23"/>
      <c r="L1" s="2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6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5"/>
      <c r="H2" s="3" t="s">
        <v>41</v>
      </c>
      <c r="I2" s="23"/>
      <c r="J2" s="23"/>
      <c r="K2" s="23"/>
      <c r="L2" s="2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5" t="s">
        <v>6</v>
      </c>
      <c r="B3" s="6">
        <v>1</v>
      </c>
      <c r="C3" s="51" t="s">
        <v>84</v>
      </c>
      <c r="D3" s="7">
        <v>60</v>
      </c>
      <c r="E3" s="7">
        <v>15</v>
      </c>
      <c r="F3" s="53">
        <f>D3*E3*B3</f>
        <v>900</v>
      </c>
      <c r="G3" s="8"/>
      <c r="H3" s="3"/>
      <c r="I3" s="23"/>
      <c r="J3" s="23"/>
      <c r="K3" s="23"/>
      <c r="L3" s="2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7"/>
      <c r="B4" s="50"/>
      <c r="C4" s="51"/>
      <c r="D4" s="52"/>
      <c r="E4" s="57"/>
      <c r="F4" s="53"/>
      <c r="G4" s="10"/>
      <c r="H4" s="3"/>
      <c r="I4" s="23"/>
      <c r="J4" s="23"/>
      <c r="K4" s="23"/>
      <c r="L4" s="23"/>
      <c r="M4" s="3"/>
      <c r="N4" s="3"/>
      <c r="O4" s="3"/>
      <c r="P4" s="11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46" t="s">
        <v>7</v>
      </c>
      <c r="B5" s="47"/>
      <c r="C5" s="63" t="s">
        <v>2</v>
      </c>
      <c r="D5" s="63" t="s">
        <v>8</v>
      </c>
      <c r="E5" s="64" t="s">
        <v>9</v>
      </c>
      <c r="F5" s="63" t="s">
        <v>10</v>
      </c>
      <c r="G5" s="10"/>
      <c r="H5" s="3"/>
      <c r="I5" s="23"/>
      <c r="J5" s="23"/>
      <c r="K5" s="23"/>
      <c r="L5" s="23"/>
      <c r="M5" s="3"/>
      <c r="N5" s="3"/>
      <c r="O5" s="3"/>
      <c r="P5" s="11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47" t="s">
        <v>11</v>
      </c>
      <c r="B6" s="6">
        <v>1</v>
      </c>
      <c r="C6" s="61" t="s">
        <v>12</v>
      </c>
      <c r="D6" s="62">
        <v>150</v>
      </c>
      <c r="E6" s="57">
        <v>0.55000000000000004</v>
      </c>
      <c r="F6" s="53">
        <f>D6*E6*B6</f>
        <v>82.5</v>
      </c>
      <c r="G6" s="10"/>
      <c r="H6" s="3"/>
      <c r="I6" s="23"/>
      <c r="J6" s="23"/>
      <c r="K6" s="23"/>
      <c r="L6" s="23"/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47" t="s">
        <v>13</v>
      </c>
      <c r="B7" s="6">
        <v>1</v>
      </c>
      <c r="C7" s="51" t="s">
        <v>85</v>
      </c>
      <c r="D7" s="57">
        <v>0</v>
      </c>
      <c r="E7" s="12">
        <f>990/2000</f>
        <v>0.495</v>
      </c>
      <c r="F7" s="53">
        <f t="shared" ref="F7:F17" si="0">D7*E7*B7</f>
        <v>0</v>
      </c>
      <c r="G7" s="10"/>
      <c r="H7" s="3"/>
      <c r="I7" s="23"/>
      <c r="J7" s="23"/>
      <c r="K7" s="23"/>
      <c r="L7" s="2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7" t="str">
        <f>[1]Fertilizer!B4</f>
        <v>Phosphate (0-46-0)</v>
      </c>
      <c r="B8" s="6">
        <v>1</v>
      </c>
      <c r="C8" s="51" t="s">
        <v>85</v>
      </c>
      <c r="D8" s="57">
        <v>90</v>
      </c>
      <c r="E8" s="12">
        <f>930/2000</f>
        <v>0.46500000000000002</v>
      </c>
      <c r="F8" s="53">
        <f t="shared" si="0"/>
        <v>41.85</v>
      </c>
      <c r="G8" s="5"/>
      <c r="H8" s="3"/>
      <c r="I8" s="23"/>
      <c r="J8" s="23"/>
      <c r="K8" s="23"/>
      <c r="L8" s="2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7" t="str">
        <f>[1]Fertilizer!B5</f>
        <v>Potash (0-0-60)</v>
      </c>
      <c r="B9" s="6">
        <v>1</v>
      </c>
      <c r="C9" s="51" t="s">
        <v>85</v>
      </c>
      <c r="D9" s="57">
        <v>100</v>
      </c>
      <c r="E9" s="12">
        <f>890/2000</f>
        <v>0.44500000000000001</v>
      </c>
      <c r="F9" s="53">
        <f t="shared" si="0"/>
        <v>44.5</v>
      </c>
      <c r="G9" s="8"/>
      <c r="H9" s="3"/>
      <c r="I9" s="23"/>
      <c r="J9" s="23"/>
      <c r="K9" s="23"/>
      <c r="L9" s="2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7" t="str">
        <f>[1]Fertilizer!B6</f>
        <v>Ammonium Sulfate (21-0-0-24)</v>
      </c>
      <c r="B10" s="6">
        <v>1</v>
      </c>
      <c r="C10" s="51" t="s">
        <v>85</v>
      </c>
      <c r="D10" s="57">
        <v>0</v>
      </c>
      <c r="E10" s="12">
        <f>735/2000</f>
        <v>0.36749999999999999</v>
      </c>
      <c r="F10" s="53">
        <f t="shared" si="0"/>
        <v>0</v>
      </c>
      <c r="G10" s="13"/>
      <c r="H10" s="3"/>
      <c r="I10" s="23"/>
      <c r="J10" s="23"/>
      <c r="K10" s="23"/>
      <c r="L10" s="2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7" t="str">
        <f>[1]Fertilizer!B7</f>
        <v>Boron 15%</v>
      </c>
      <c r="B11" s="6">
        <v>1</v>
      </c>
      <c r="C11" s="51" t="s">
        <v>85</v>
      </c>
      <c r="D11" s="57">
        <v>0</v>
      </c>
      <c r="E11" s="12">
        <v>1.28</v>
      </c>
      <c r="F11" s="53">
        <f t="shared" si="0"/>
        <v>0</v>
      </c>
      <c r="G11" s="103"/>
      <c r="H11" s="104"/>
      <c r="I11" s="23"/>
      <c r="J11" s="23"/>
      <c r="K11" s="23"/>
      <c r="L11" s="2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7" t="str">
        <f>[1]Fertilizer!B8</f>
        <v>Other Nutrients, Including Poultry Litter</v>
      </c>
      <c r="B12" s="6">
        <v>1</v>
      </c>
      <c r="C12" s="51" t="s">
        <v>14</v>
      </c>
      <c r="D12" s="51">
        <v>1</v>
      </c>
      <c r="E12" s="57">
        <v>0</v>
      </c>
      <c r="F12" s="53">
        <f t="shared" si="0"/>
        <v>0</v>
      </c>
      <c r="G12" s="13"/>
      <c r="H12" s="23"/>
      <c r="I12" s="23"/>
      <c r="J12" s="23"/>
      <c r="K12" s="23"/>
      <c r="L12" s="2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7" t="s">
        <v>15</v>
      </c>
      <c r="B13" s="6">
        <v>1</v>
      </c>
      <c r="C13" s="51" t="s">
        <v>14</v>
      </c>
      <c r="D13" s="51">
        <v>1</v>
      </c>
      <c r="E13" s="57">
        <v>102.61500000000001</v>
      </c>
      <c r="F13" s="53">
        <f t="shared" si="0"/>
        <v>102.61500000000001</v>
      </c>
      <c r="G13" s="8"/>
      <c r="H13" s="23"/>
      <c r="I13" s="23"/>
      <c r="J13" s="23"/>
      <c r="K13" s="23"/>
      <c r="L13" s="2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7" t="s">
        <v>16</v>
      </c>
      <c r="B14" s="6">
        <v>1</v>
      </c>
      <c r="C14" s="51" t="s">
        <v>14</v>
      </c>
      <c r="D14" s="51">
        <v>1</v>
      </c>
      <c r="E14" s="57">
        <v>21.419999999999998</v>
      </c>
      <c r="F14" s="53">
        <f t="shared" si="0"/>
        <v>21.419999999999998</v>
      </c>
      <c r="G14" s="13"/>
      <c r="H14" s="23"/>
      <c r="I14" s="23"/>
      <c r="J14" s="23"/>
      <c r="K14" s="23"/>
      <c r="L14" s="2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7" t="str">
        <f>IF(OR([1]A2_Budget_Look_Up!B7=1,[1]A2_Budget_Look_Up!B13=1),"Nematicide",[1]Program_Variables!C16)</f>
        <v>Fungicide</v>
      </c>
      <c r="B15" s="6">
        <v>1</v>
      </c>
      <c r="C15" s="51" t="s">
        <v>14</v>
      </c>
      <c r="D15" s="51">
        <v>1</v>
      </c>
      <c r="E15" s="57">
        <v>23.700000000000003</v>
      </c>
      <c r="F15" s="53">
        <f t="shared" si="0"/>
        <v>23.700000000000003</v>
      </c>
      <c r="G15" s="13"/>
      <c r="H15" s="23"/>
      <c r="I15" s="23"/>
      <c r="J15" s="23"/>
      <c r="K15" s="23"/>
      <c r="L15" s="2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7" t="str">
        <f>IF([1]A2_Budget_Look_Up!B7=1,"Growth Regulator", IF([1]A2_Budget_Look_Up!B13=1,"Fungicide",[1]Program_Variables!C17))</f>
        <v>Other Chemical</v>
      </c>
      <c r="B16" s="6">
        <v>1</v>
      </c>
      <c r="C16" s="51" t="s">
        <v>14</v>
      </c>
      <c r="D16" s="51">
        <v>1</v>
      </c>
      <c r="E16" s="57">
        <v>0</v>
      </c>
      <c r="F16" s="53">
        <f t="shared" si="0"/>
        <v>0</v>
      </c>
      <c r="G16" s="15"/>
      <c r="H16" s="23"/>
      <c r="I16" s="23"/>
      <c r="J16" s="23"/>
      <c r="K16" s="23"/>
      <c r="L16" s="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7" t="str">
        <f>IF([1]A2_Budget_Look_Up!B7=1,"Defoliant",[1]Program_Variables!C18)</f>
        <v>Other Chemical</v>
      </c>
      <c r="B17" s="6">
        <v>1</v>
      </c>
      <c r="C17" s="51" t="s">
        <v>14</v>
      </c>
      <c r="D17" s="51">
        <v>1</v>
      </c>
      <c r="E17" s="57">
        <v>0</v>
      </c>
      <c r="F17" s="53">
        <f t="shared" si="0"/>
        <v>0</v>
      </c>
      <c r="G17" s="15"/>
      <c r="H17" s="23"/>
      <c r="I17" s="23"/>
      <c r="J17" s="23"/>
      <c r="K17" s="23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7" t="str">
        <f>IF([1]A2_Budget_Look_Up!B14&lt;1,"Custom Chemical &amp; Fertilizer Applications",[1]Program_Variables!C21)</f>
        <v>Custom Chemical &amp; Fertilizer Applications</v>
      </c>
      <c r="B18" s="47"/>
      <c r="C18" s="51"/>
      <c r="D18" s="51"/>
      <c r="E18" s="57"/>
      <c r="F18" s="57"/>
      <c r="G18" s="15"/>
      <c r="H18" s="23"/>
      <c r="I18" s="23"/>
      <c r="J18" s="23"/>
      <c r="K18" s="23"/>
      <c r="L18" s="23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47" t="str">
        <f>[1]Program_Variables!C24</f>
        <v xml:space="preserve">   Ground Application: Fertilizer &amp; Chemical</v>
      </c>
      <c r="B19" s="6">
        <v>1</v>
      </c>
      <c r="C19" s="51" t="s">
        <v>14</v>
      </c>
      <c r="D19" s="20">
        <v>0</v>
      </c>
      <c r="E19" s="21">
        <v>7.5</v>
      </c>
      <c r="F19" s="53">
        <f>D19*E19*B19</f>
        <v>0</v>
      </c>
      <c r="G19" s="13"/>
      <c r="H19" s="23"/>
      <c r="I19" s="23"/>
      <c r="J19" s="23"/>
      <c r="K19" s="23"/>
      <c r="L19" s="23"/>
      <c r="M19" s="22"/>
      <c r="N19" s="2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47" t="str">
        <f>[1]Program_Variables!C25</f>
        <v xml:space="preserve">   Air Application: Fertilizer &amp; Chemical</v>
      </c>
      <c r="B20" s="6">
        <v>1</v>
      </c>
      <c r="C20" s="51" t="s">
        <v>14</v>
      </c>
      <c r="D20" s="24">
        <v>2</v>
      </c>
      <c r="E20" s="21">
        <v>8</v>
      </c>
      <c r="F20" s="53">
        <f>D20*E20*B20</f>
        <v>16</v>
      </c>
      <c r="G20" s="13"/>
      <c r="H20" s="23"/>
      <c r="I20" s="23"/>
      <c r="J20" s="23"/>
      <c r="K20" s="23"/>
      <c r="L20" s="23"/>
      <c r="M20" s="22"/>
      <c r="N20" s="2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47" t="str">
        <f>[1]Program_Variables!C26</f>
        <v xml:space="preserve">   Air Application: Lbs.</v>
      </c>
      <c r="B21" s="6">
        <v>1</v>
      </c>
      <c r="C21" s="51" t="s">
        <v>85</v>
      </c>
      <c r="D21" s="24">
        <v>0</v>
      </c>
      <c r="E21" s="25">
        <v>0.08</v>
      </c>
      <c r="F21" s="53">
        <f>D21*E21*B21</f>
        <v>0</v>
      </c>
      <c r="G21" s="13"/>
      <c r="H21" s="23"/>
      <c r="I21" s="23"/>
      <c r="J21" s="23"/>
      <c r="K21" s="23"/>
      <c r="L21" s="23"/>
      <c r="M21" s="22"/>
      <c r="N21" s="23"/>
      <c r="O21" s="1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47" t="str">
        <f>[1]Program_Variables!C27</f>
        <v xml:space="preserve">   Other Custom Hire, Air Seeding</v>
      </c>
      <c r="B22" s="6">
        <v>1</v>
      </c>
      <c r="C22" s="51" t="s">
        <v>14</v>
      </c>
      <c r="D22" s="24">
        <v>0</v>
      </c>
      <c r="E22" s="21">
        <v>7.5</v>
      </c>
      <c r="F22" s="53">
        <f>D22*E22*B22</f>
        <v>0</v>
      </c>
      <c r="G22" s="13"/>
      <c r="H22" s="23"/>
      <c r="I22" s="23"/>
      <c r="J22" s="23"/>
      <c r="K22" s="23"/>
      <c r="L22" s="23"/>
      <c r="M22" s="22"/>
      <c r="N22" s="23"/>
      <c r="O22" s="1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7" t="s">
        <v>17</v>
      </c>
      <c r="B23" s="47"/>
      <c r="C23" s="47"/>
      <c r="D23" s="47"/>
      <c r="E23" s="47"/>
      <c r="F23" s="47"/>
      <c r="G23" s="13"/>
      <c r="H23" s="23"/>
      <c r="I23" s="23"/>
      <c r="J23" s="23"/>
      <c r="K23" s="23"/>
      <c r="L23" s="23"/>
      <c r="M23" s="9"/>
      <c r="N23" s="27"/>
      <c r="O23" s="1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7" t="s">
        <v>18</v>
      </c>
      <c r="B24" s="6">
        <v>1</v>
      </c>
      <c r="C24" s="51" t="s">
        <v>19</v>
      </c>
      <c r="D24" s="12">
        <v>4.3422960434738096</v>
      </c>
      <c r="E24" s="28">
        <v>3.89</v>
      </c>
      <c r="F24" s="53">
        <f t="shared" ref="F24:F35" si="1">D24*E24*B24</f>
        <v>16.89153160911312</v>
      </c>
      <c r="G24" s="29"/>
      <c r="H24" s="23"/>
      <c r="I24" s="23"/>
      <c r="J24" s="23"/>
      <c r="K24" s="23"/>
      <c r="L24" s="23"/>
      <c r="M24" s="22"/>
      <c r="N24" s="2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7" t="s">
        <v>20</v>
      </c>
      <c r="B25" s="6">
        <v>1</v>
      </c>
      <c r="C25" s="51" t="s">
        <v>14</v>
      </c>
      <c r="D25" s="51">
        <v>1</v>
      </c>
      <c r="E25" s="57">
        <v>7.6460633731313425</v>
      </c>
      <c r="F25" s="53">
        <f t="shared" si="1"/>
        <v>7.6460633731313425</v>
      </c>
      <c r="G25" s="13"/>
      <c r="H25" s="23"/>
      <c r="I25" s="23"/>
      <c r="J25" s="23"/>
      <c r="K25" s="23"/>
      <c r="L25" s="23"/>
      <c r="M25" s="22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7" t="s">
        <v>21</v>
      </c>
      <c r="B26" s="6">
        <v>1</v>
      </c>
      <c r="C26" s="51" t="s">
        <v>19</v>
      </c>
      <c r="D26" s="12">
        <v>2.0274973147153599</v>
      </c>
      <c r="E26" s="28">
        <v>3.89</v>
      </c>
      <c r="F26" s="53">
        <f t="shared" si="1"/>
        <v>7.8869645542427502</v>
      </c>
      <c r="G26" s="13"/>
      <c r="H26" s="23"/>
      <c r="I26" s="23"/>
      <c r="J26" s="23"/>
      <c r="K26" s="23"/>
      <c r="L26" s="23"/>
      <c r="M26" s="22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7" t="s">
        <v>22</v>
      </c>
      <c r="B27" s="6">
        <v>1</v>
      </c>
      <c r="C27" s="51" t="s">
        <v>14</v>
      </c>
      <c r="D27" s="51">
        <v>1</v>
      </c>
      <c r="E27" s="57">
        <v>7.0993062992061589</v>
      </c>
      <c r="F27" s="53">
        <f t="shared" si="1"/>
        <v>7.0993062992061589</v>
      </c>
      <c r="G27" s="15"/>
      <c r="H27" s="23"/>
      <c r="I27" s="23"/>
      <c r="J27" s="23"/>
      <c r="K27" s="23"/>
      <c r="L27" s="23"/>
      <c r="M27" s="22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7" t="s">
        <v>23</v>
      </c>
      <c r="B28" s="6">
        <v>1</v>
      </c>
      <c r="C28" s="51" t="s">
        <v>24</v>
      </c>
      <c r="D28" s="30">
        <v>12</v>
      </c>
      <c r="E28" s="57">
        <v>4.5945998922305771</v>
      </c>
      <c r="F28" s="53">
        <f t="shared" si="1"/>
        <v>55.135198706766928</v>
      </c>
      <c r="G28" s="15"/>
      <c r="H28" s="23"/>
      <c r="I28" s="23"/>
      <c r="J28" s="23"/>
      <c r="K28" s="23"/>
      <c r="L28" s="23"/>
      <c r="M28" s="22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7" t="s">
        <v>25</v>
      </c>
      <c r="B29" s="50"/>
      <c r="C29" s="51" t="s">
        <v>24</v>
      </c>
      <c r="D29" s="60">
        <v>12</v>
      </c>
      <c r="E29" s="57">
        <v>0.24010416666666667</v>
      </c>
      <c r="F29" s="53">
        <f>D29*E29</f>
        <v>2.8812500000000001</v>
      </c>
      <c r="G29" s="13"/>
      <c r="H29" s="23"/>
      <c r="I29" s="23"/>
      <c r="J29" s="23"/>
      <c r="K29" s="23"/>
      <c r="L29" s="23"/>
      <c r="M29" s="22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7" t="s">
        <v>26</v>
      </c>
      <c r="B30" s="6">
        <v>1</v>
      </c>
      <c r="C30" s="51" t="s">
        <v>14</v>
      </c>
      <c r="D30" s="31">
        <v>1</v>
      </c>
      <c r="E30" s="21">
        <v>3.88</v>
      </c>
      <c r="F30" s="53">
        <f t="shared" si="1"/>
        <v>3.88</v>
      </c>
      <c r="G30" s="13"/>
      <c r="H30" s="23"/>
      <c r="I30" s="23"/>
      <c r="J30" s="23"/>
      <c r="K30" s="23"/>
      <c r="L30" s="23"/>
      <c r="M30" s="22"/>
      <c r="N30" s="2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7" t="str">
        <f>IF(OR([1]A2_Budget_Look_Up!B9=1,[1]A2_Budget_Look_Up!B10=1),"Levee Gates",[1]Program_Variables!C30)</f>
        <v>Levee Gates</v>
      </c>
      <c r="B31" s="6">
        <v>1</v>
      </c>
      <c r="C31" s="51" t="s">
        <v>14</v>
      </c>
      <c r="D31" s="31">
        <v>1</v>
      </c>
      <c r="E31" s="21">
        <v>0</v>
      </c>
      <c r="F31" s="53">
        <f t="shared" si="1"/>
        <v>0</v>
      </c>
      <c r="G31" s="13"/>
      <c r="H31" s="23"/>
      <c r="I31" s="23"/>
      <c r="J31" s="23"/>
      <c r="K31" s="23"/>
      <c r="L31" s="23"/>
      <c r="M31" s="22"/>
      <c r="N31" s="23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7" t="s">
        <v>27</v>
      </c>
      <c r="B32" s="6">
        <v>1</v>
      </c>
      <c r="C32" s="51" t="s">
        <v>28</v>
      </c>
      <c r="D32" s="12">
        <v>0.82875221620808082</v>
      </c>
      <c r="E32" s="34">
        <v>11.33</v>
      </c>
      <c r="F32" s="53">
        <f t="shared" si="1"/>
        <v>9.3897626096375557</v>
      </c>
      <c r="G32" s="13"/>
      <c r="H32" s="23"/>
      <c r="I32" s="23"/>
      <c r="J32" s="23"/>
      <c r="K32" s="23"/>
      <c r="L32" s="23"/>
      <c r="M32" s="22"/>
      <c r="N32" s="23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7" t="s">
        <v>29</v>
      </c>
      <c r="B33" s="6">
        <v>1</v>
      </c>
      <c r="C33" s="51" t="s">
        <v>14</v>
      </c>
      <c r="D33" s="31">
        <v>1</v>
      </c>
      <c r="E33" s="21">
        <v>6.5</v>
      </c>
      <c r="F33" s="53">
        <f t="shared" si="1"/>
        <v>6.5</v>
      </c>
      <c r="G33" s="13"/>
      <c r="H33" s="23"/>
      <c r="I33" s="23"/>
      <c r="J33" s="23"/>
      <c r="K33" s="23"/>
      <c r="L33" s="23"/>
      <c r="M33" s="22"/>
      <c r="N33" s="23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7" t="str">
        <f>IF([1]A2_Budget_Look_Up!B7=1,"Boll Weevil Eradication Fee; See Note 3",[1]Program_Variables!C31)</f>
        <v>Other Expenses</v>
      </c>
      <c r="B34" s="6">
        <v>1</v>
      </c>
      <c r="C34" s="51" t="s">
        <v>14</v>
      </c>
      <c r="D34" s="31">
        <v>1</v>
      </c>
      <c r="E34" s="21">
        <v>0</v>
      </c>
      <c r="F34" s="53">
        <f t="shared" si="1"/>
        <v>0</v>
      </c>
      <c r="G34" s="15"/>
      <c r="H34" s="23"/>
      <c r="I34" s="23"/>
      <c r="J34" s="23"/>
      <c r="K34" s="23"/>
      <c r="L34" s="23"/>
      <c r="M34" s="22"/>
      <c r="N34" s="23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7" t="s">
        <v>30</v>
      </c>
      <c r="B35" s="6">
        <v>1</v>
      </c>
      <c r="C35" s="51" t="s">
        <v>14</v>
      </c>
      <c r="D35" s="31">
        <v>1</v>
      </c>
      <c r="E35" s="21">
        <v>4.8</v>
      </c>
      <c r="F35" s="53">
        <f t="shared" si="1"/>
        <v>4.8</v>
      </c>
      <c r="G35" s="13"/>
      <c r="H35" s="23"/>
      <c r="I35" s="23"/>
      <c r="J35" s="23"/>
      <c r="K35" s="23"/>
      <c r="L35" s="23"/>
      <c r="M35" s="22"/>
      <c r="N35" s="23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7" t="str">
        <f>[1]Program_Variables!C34</f>
        <v>Interest, Annual Rate Applied for 6 Months</v>
      </c>
      <c r="B36" s="6">
        <v>1</v>
      </c>
      <c r="C36" s="51" t="s">
        <v>31</v>
      </c>
      <c r="D36" s="28">
        <v>4.45</v>
      </c>
      <c r="E36" s="53">
        <v>454.69507715209795</v>
      </c>
      <c r="F36" s="53">
        <f>((D36/100)*0.5*SUM(F6:F35)*B36)</f>
        <v>10.116965466634181</v>
      </c>
      <c r="G36" s="13"/>
      <c r="H36" s="23"/>
      <c r="I36" s="23"/>
      <c r="J36" s="23"/>
      <c r="K36" s="23"/>
      <c r="L36" s="23"/>
      <c r="M36" s="22"/>
      <c r="N36" s="23"/>
      <c r="O36" s="17"/>
      <c r="P36" s="40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7" t="s">
        <v>32</v>
      </c>
      <c r="B37" s="6">
        <v>1</v>
      </c>
      <c r="C37" s="51" t="s">
        <v>14</v>
      </c>
      <c r="D37" s="28">
        <v>0</v>
      </c>
      <c r="E37" s="21">
        <v>0</v>
      </c>
      <c r="F37" s="53">
        <f>D37*E37*B37</f>
        <v>0</v>
      </c>
      <c r="G37" s="13"/>
      <c r="H37" s="23"/>
      <c r="I37" s="23"/>
      <c r="J37" s="23"/>
      <c r="K37" s="23"/>
      <c r="L37" s="23"/>
      <c r="M37" s="22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7" t="str">
        <f>IF([1]A2_Budget_Look_Up!B7=1,"Post-Harvest Expenses; See Note 4",[1]C1_Messages_Indicators!D24)</f>
        <v>Post-Harvest Expenses</v>
      </c>
      <c r="B38" s="59"/>
      <c r="C38" s="51"/>
      <c r="D38" s="52" t="s">
        <v>86</v>
      </c>
      <c r="E38" s="52" t="s">
        <v>86</v>
      </c>
      <c r="F38" s="53"/>
      <c r="G38" s="13"/>
      <c r="H38" s="23"/>
      <c r="I38" s="23"/>
      <c r="J38" s="23"/>
      <c r="K38" s="23"/>
      <c r="L38" s="23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47" t="str">
        <f>IF([1]A2_Budget_Look_Up!B7=1,"   Hauling, Ginning",[1]C1_Messages_Indicators!B27)</f>
        <v xml:space="preserve">   Drying</v>
      </c>
      <c r="B39" s="6">
        <v>1</v>
      </c>
      <c r="C39" s="51" t="s">
        <v>84</v>
      </c>
      <c r="D39" s="57">
        <v>60</v>
      </c>
      <c r="E39" s="21">
        <v>0</v>
      </c>
      <c r="F39" s="53">
        <f>D39*E39*B39</f>
        <v>0</v>
      </c>
      <c r="G39" s="13"/>
      <c r="H39" s="23"/>
      <c r="I39" s="23"/>
      <c r="J39" s="23"/>
      <c r="K39" s="23"/>
      <c r="L39" s="23"/>
      <c r="M39" s="22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47" t="str">
        <f>IF([1]A2_Budget_Look_Up!B7=1,"   Storage and Warehousing",[1]C1_Messages_Indicators!B28)</f>
        <v xml:space="preserve">   Hauling</v>
      </c>
      <c r="B40" s="6">
        <v>1</v>
      </c>
      <c r="C40" s="51" t="s">
        <v>84</v>
      </c>
      <c r="D40" s="52">
        <v>60</v>
      </c>
      <c r="E40" s="21">
        <v>0.27</v>
      </c>
      <c r="F40" s="53">
        <f>D40*E40*B40</f>
        <v>16.200000000000003</v>
      </c>
      <c r="G40" s="13"/>
      <c r="H40" s="23"/>
      <c r="I40" s="23"/>
      <c r="J40" s="23"/>
      <c r="K40" s="23"/>
      <c r="L40" s="23"/>
      <c r="M40" s="22"/>
      <c r="N40" s="2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47" t="str">
        <f>IF([1]A2_Budget_Look_Up!B7=1,"   Promotions, Boards, Classing",[1]C1_Messages_Indicators!B29)</f>
        <v xml:space="preserve">   Check Off, Boards</v>
      </c>
      <c r="B41" s="6">
        <v>1</v>
      </c>
      <c r="C41" s="51" t="s">
        <v>84</v>
      </c>
      <c r="D41" s="52">
        <v>60</v>
      </c>
      <c r="E41" s="58">
        <v>1.9E-2</v>
      </c>
      <c r="F41" s="53">
        <f>D41*E41*B41</f>
        <v>1.1399999999999999</v>
      </c>
      <c r="G41" s="13"/>
      <c r="H41" s="23"/>
      <c r="I41" s="23"/>
      <c r="J41" s="23"/>
      <c r="K41" s="23"/>
      <c r="L41" s="23"/>
      <c r="M41" s="22"/>
      <c r="N41" s="2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7" t="str">
        <f>IF([1]A2_Budget_Look_Up!B13&gt;0,"   NPB Check Off",IF([1]A2_Budget_Look_Up!B14&gt;0,[1]Program_Variables!C44," "))</f>
        <v xml:space="preserve"> </v>
      </c>
      <c r="B42" s="50" t="str">
        <f>IF(OR([1]A2_Budget_Look_Up!B13&gt;0,[1]A2_Budget_Look_Up!B14&gt;0),1," ")</f>
        <v xml:space="preserve"> </v>
      </c>
      <c r="C42" s="51"/>
      <c r="D42" s="52" t="s">
        <v>86</v>
      </c>
      <c r="E42" s="57" t="s">
        <v>86</v>
      </c>
      <c r="F42" s="53" t="str">
        <f>IF(OR([1]A2_Budget_Look_Up!B13&gt;0,[1]A2_Budget_Look_Up!B14&gt;0),D42*E42*B42," ")</f>
        <v xml:space="preserve"> </v>
      </c>
      <c r="G42" s="13"/>
      <c r="H42" s="23"/>
      <c r="I42" s="23"/>
      <c r="J42" s="23"/>
      <c r="K42" s="23"/>
      <c r="L42" s="23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7" t="s">
        <v>33</v>
      </c>
      <c r="B43" s="47"/>
      <c r="C43" s="51" t="s">
        <v>14</v>
      </c>
      <c r="D43" s="51">
        <v>1</v>
      </c>
      <c r="E43" s="21">
        <v>0</v>
      </c>
      <c r="F43" s="57">
        <f>D43*E43</f>
        <v>0</v>
      </c>
      <c r="G43" s="13"/>
      <c r="H43" s="23"/>
      <c r="I43" s="23"/>
      <c r="J43" s="23"/>
      <c r="K43" s="23"/>
      <c r="L43" s="23"/>
      <c r="M43" s="16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6" t="s">
        <v>34</v>
      </c>
      <c r="B44" s="47"/>
      <c r="C44" s="47"/>
      <c r="D44" s="47"/>
      <c r="E44" s="47"/>
      <c r="F44" s="48">
        <f>SUM(F6:F42)</f>
        <v>482.15204261873208</v>
      </c>
      <c r="G44" s="13"/>
      <c r="H44" s="23"/>
      <c r="I44" s="23"/>
      <c r="J44" s="23"/>
      <c r="K44" s="23"/>
      <c r="L44" s="23"/>
      <c r="M44" s="41"/>
      <c r="N44" s="2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6" t="s">
        <v>35</v>
      </c>
      <c r="B45" s="46"/>
      <c r="C45" s="46"/>
      <c r="D45" s="46"/>
      <c r="E45" s="46"/>
      <c r="F45" s="49">
        <f>F3-F43-F44</f>
        <v>417.84795738126792</v>
      </c>
      <c r="G45" s="13"/>
      <c r="H45" s="23"/>
      <c r="I45" s="23"/>
      <c r="J45" s="23"/>
      <c r="K45" s="23"/>
      <c r="L45" s="23"/>
      <c r="M45" s="42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6" t="s">
        <v>36</v>
      </c>
      <c r="B46" s="47"/>
      <c r="C46" s="47"/>
      <c r="D46" s="47"/>
      <c r="E46" s="47"/>
      <c r="F46" s="47"/>
      <c r="G46" s="13"/>
      <c r="H46" s="23"/>
      <c r="I46" s="23"/>
      <c r="J46" s="23"/>
      <c r="K46" s="23"/>
      <c r="L46" s="23"/>
      <c r="M46" s="9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7" t="s">
        <v>17</v>
      </c>
      <c r="B47" s="50"/>
      <c r="C47" s="51" t="s">
        <v>14</v>
      </c>
      <c r="D47" s="51">
        <v>1</v>
      </c>
      <c r="E47" s="52">
        <v>86.356681077827233</v>
      </c>
      <c r="F47" s="53">
        <f>D47*E47</f>
        <v>86.356681077827233</v>
      </c>
      <c r="G47" s="13"/>
      <c r="H47" s="23"/>
      <c r="I47" s="23"/>
      <c r="J47" s="23"/>
      <c r="K47" s="23"/>
      <c r="L47" s="23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7" t="s">
        <v>37</v>
      </c>
      <c r="B48" s="50"/>
      <c r="C48" s="51" t="s">
        <v>14</v>
      </c>
      <c r="D48" s="51">
        <v>1</v>
      </c>
      <c r="E48" s="52">
        <v>19.269923987428808</v>
      </c>
      <c r="F48" s="53">
        <f>D48*E48</f>
        <v>19.269923987428808</v>
      </c>
      <c r="G48" s="13"/>
      <c r="H48" s="23"/>
      <c r="I48" s="23"/>
      <c r="J48" s="23"/>
      <c r="K48" s="23"/>
      <c r="L48" s="23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7" t="str">
        <f>IF([1]A2_Budget_Look_Up!B7=1,"Farm Overhead; See Note 5","Farm Overhead; See Note 3 ")</f>
        <v xml:space="preserve">Farm Overhead; See Note 3 </v>
      </c>
      <c r="B49" s="50"/>
      <c r="C49" s="51" t="s">
        <v>14</v>
      </c>
      <c r="D49" s="51">
        <v>1</v>
      </c>
      <c r="E49" s="52">
        <v>4.317834053891362</v>
      </c>
      <c r="F49" s="53">
        <f>D49*E49</f>
        <v>4.317834053891362</v>
      </c>
      <c r="G49" s="15"/>
      <c r="H49" s="23"/>
      <c r="I49" s="23"/>
      <c r="J49" s="23"/>
      <c r="K49" s="23"/>
      <c r="L49" s="23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6" t="s">
        <v>38</v>
      </c>
      <c r="B50" s="47"/>
      <c r="C50" s="47"/>
      <c r="D50" s="47"/>
      <c r="E50" s="47"/>
      <c r="F50" s="48">
        <f>SUM(F47:F49)</f>
        <v>109.9444391191474</v>
      </c>
      <c r="G50" s="13"/>
      <c r="H50" s="23"/>
      <c r="I50" s="23"/>
      <c r="J50" s="23"/>
      <c r="K50" s="23"/>
      <c r="L50" s="23"/>
      <c r="M50" s="41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6" t="s">
        <v>39</v>
      </c>
      <c r="B51" s="46"/>
      <c r="C51" s="46"/>
      <c r="D51" s="46"/>
      <c r="E51" s="46"/>
      <c r="F51" s="49">
        <f>F44+F50</f>
        <v>592.09648173787946</v>
      </c>
      <c r="G51" s="13"/>
      <c r="H51" s="23"/>
      <c r="I51" s="23"/>
      <c r="J51" s="23"/>
      <c r="K51" s="23"/>
      <c r="L51" s="23"/>
      <c r="M51" s="42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4" t="s">
        <v>40</v>
      </c>
      <c r="B52" s="54"/>
      <c r="C52" s="54"/>
      <c r="D52" s="54"/>
      <c r="E52" s="54"/>
      <c r="F52" s="55">
        <f>F3-F43-F51</f>
        <v>307.90351826212054</v>
      </c>
      <c r="G52" s="29"/>
      <c r="H52" s="23"/>
      <c r="I52" s="23"/>
      <c r="J52" s="23"/>
      <c r="K52" s="23"/>
      <c r="L52" s="23"/>
      <c r="M52" s="42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6"/>
      <c r="B53" s="56"/>
      <c r="C53" s="56"/>
      <c r="D53" s="56"/>
      <c r="E53" s="56"/>
      <c r="F53" s="56"/>
      <c r="G53" s="14"/>
      <c r="H53" s="23"/>
      <c r="I53" s="23"/>
      <c r="J53" s="23"/>
      <c r="K53" s="23"/>
      <c r="L53" s="23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7" t="str">
        <f>[1]Program_Variables!B59</f>
        <v>Note 1: Yield and inputs are based on Extension research data. Enter expected farm yield and inputs.</v>
      </c>
      <c r="B54" s="47"/>
      <c r="C54" s="51"/>
      <c r="D54" s="51"/>
      <c r="E54" s="52"/>
      <c r="F54" s="57"/>
      <c r="G54" s="13"/>
      <c r="H54" s="23"/>
      <c r="I54" s="23"/>
      <c r="J54" s="23"/>
      <c r="K54" s="23"/>
      <c r="L54" s="23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7" t="str">
        <f>[1]Program_Variables!B73</f>
        <v xml:space="preserve">Note 2: All price estimates do NOT include rebates, bulk deals, or discounts available through suppliers. </v>
      </c>
      <c r="B55" s="47"/>
      <c r="C55" s="51"/>
      <c r="D55" s="51"/>
      <c r="E55" s="52"/>
      <c r="F55" s="57"/>
      <c r="G55" s="13"/>
      <c r="H55" s="23"/>
      <c r="I55" s="23"/>
      <c r="J55" s="23"/>
      <c r="K55" s="23"/>
      <c r="L55" s="23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7" t="str">
        <f>IF([1]A2_Budget_Look_Up!B7=1,[1]Program_Variables!B67,[1]C1_Messages_Indicators!B45)</f>
        <v>Note 3: Estimate based on machinery and equipment.</v>
      </c>
      <c r="B56" s="46"/>
      <c r="C56" s="46"/>
      <c r="D56" s="46"/>
      <c r="E56" s="46"/>
      <c r="F56" s="49"/>
      <c r="G56" s="13"/>
      <c r="H56" s="23"/>
      <c r="I56" s="23"/>
      <c r="J56" s="23"/>
      <c r="K56" s="23"/>
      <c r="L56" s="23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7"/>
      <c r="B57" s="46"/>
      <c r="C57" s="46"/>
      <c r="D57" s="46"/>
      <c r="E57" s="46"/>
      <c r="F57" s="49"/>
      <c r="G57" s="10"/>
      <c r="H57" s="23"/>
      <c r="I57" s="23"/>
      <c r="J57" s="23"/>
      <c r="K57" s="23"/>
      <c r="L57" s="23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9"/>
      <c r="B61" s="9"/>
      <c r="C61" s="4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44"/>
      <c r="C62" s="4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44"/>
      <c r="C63" s="4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44"/>
      <c r="C64" s="4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2021-11-22T02:39:22Z</dcterms:created>
  <dcterms:modified xsi:type="dcterms:W3CDTF">2022-03-16T17:37:16Z</dcterms:modified>
</cp:coreProperties>
</file>