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watkins\Desktop\Livestock Info\2019 Budgets\"/>
    </mc:Choice>
  </mc:AlternateContent>
  <bookViews>
    <workbookView xWindow="0" yWindow="0" windowWidth="23040" windowHeight="10650" activeTab="1"/>
  </bookViews>
  <sheets>
    <sheet name="Print_Budget" sheetId="9" r:id="rId1"/>
    <sheet name="Budget" sheetId="1" r:id="rId2"/>
    <sheet name="Feed" sheetId="3" r:id="rId3"/>
    <sheet name="Vet" sheetId="4" r:id="rId4"/>
    <sheet name="Grass" sheetId="7" r:id="rId5"/>
    <sheet name="Auction" sheetId="5" r:id="rId6"/>
    <sheet name="Buildings_Equipment" sheetId="6" r:id="rId7"/>
    <sheet name="Purchased_Stock" sheetId="8" r:id="rId8"/>
  </sheets>
  <externalReferences>
    <externalReference r:id="rId9"/>
  </externalReferences>
  <definedNames>
    <definedName name="equip_fc">[1]Equipment!$D$32</definedName>
    <definedName name="hay" localSheetId="6">#REF!</definedName>
    <definedName name="hay" localSheetId="0">#REF!</definedName>
    <definedName name="hay">#REF!</definedName>
    <definedName name="hay_tons" localSheetId="6">#REF!</definedName>
    <definedName name="hay_tons" localSheetId="0">#REF!</definedName>
    <definedName name="hay_tons">#REF!</definedName>
    <definedName name="_xlnm.Print_Area" localSheetId="1">Budget!$A$1:$F$46</definedName>
    <definedName name="_xlnm.Print_Area" localSheetId="6">Buildings_Equipment!#REF!</definedName>
    <definedName name="_xlnm.Print_Area" localSheetId="2">Feed!$A$1:$H$40</definedName>
    <definedName name="_xlnm.Print_Area" localSheetId="0">Print_Budget!$A$1:$F$46</definedName>
    <definedName name="_xlnm.Print_Area" localSheetId="7">Purchased_Stock!$A$1:$L$12</definedName>
    <definedName name="_xlnm.Print_Area" localSheetId="3">Vet!$A$2:$G$56</definedName>
  </definedNames>
  <calcPr calcId="162913"/>
</workbook>
</file>

<file path=xl/calcChain.xml><?xml version="1.0" encoding="utf-8"?>
<calcChain xmlns="http://schemas.openxmlformats.org/spreadsheetml/2006/main">
  <c r="A46" i="9" l="1"/>
  <c r="A45" i="9"/>
  <c r="A44" i="9"/>
  <c r="C43" i="9"/>
  <c r="B43" i="9"/>
  <c r="A43" i="9"/>
  <c r="A42" i="9"/>
  <c r="D41" i="9"/>
  <c r="B41" i="9"/>
  <c r="A41" i="9"/>
  <c r="C40" i="9"/>
  <c r="B40" i="9"/>
  <c r="A40" i="9"/>
  <c r="C39" i="9"/>
  <c r="B39" i="9"/>
  <c r="A39" i="9"/>
  <c r="A38" i="9"/>
  <c r="A37" i="9"/>
  <c r="A36" i="9"/>
  <c r="D35" i="9"/>
  <c r="C35" i="9"/>
  <c r="B35" i="9"/>
  <c r="A35" i="9"/>
  <c r="B34" i="9"/>
  <c r="A34" i="9"/>
  <c r="D33" i="9"/>
  <c r="B33" i="9"/>
  <c r="A33" i="9"/>
  <c r="A32" i="9"/>
  <c r="D31" i="9"/>
  <c r="B31" i="9"/>
  <c r="A31" i="9"/>
  <c r="D30" i="9"/>
  <c r="C30" i="9"/>
  <c r="B30" i="9"/>
  <c r="A30" i="9"/>
  <c r="B29" i="9"/>
  <c r="A29" i="9"/>
  <c r="B28" i="9"/>
  <c r="A28" i="9"/>
  <c r="B27" i="9"/>
  <c r="A27" i="9"/>
  <c r="C26" i="9"/>
  <c r="B26" i="9"/>
  <c r="A26" i="9"/>
  <c r="D25" i="9"/>
  <c r="C25" i="9"/>
  <c r="B25" i="9"/>
  <c r="A25" i="9"/>
  <c r="B24" i="9"/>
  <c r="A24" i="9"/>
  <c r="B23" i="9"/>
  <c r="A23" i="9"/>
  <c r="B22" i="9"/>
  <c r="A22" i="9"/>
  <c r="B21" i="9"/>
  <c r="A21" i="9"/>
  <c r="D20" i="9"/>
  <c r="C20" i="9"/>
  <c r="B20" i="9"/>
  <c r="A20" i="9"/>
  <c r="C19" i="9"/>
  <c r="B19" i="9"/>
  <c r="A19" i="9"/>
  <c r="C18" i="9"/>
  <c r="B18" i="9"/>
  <c r="A18" i="9"/>
  <c r="A17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F12" i="9"/>
  <c r="E12" i="9"/>
  <c r="D12" i="9"/>
  <c r="C12" i="9"/>
  <c r="B12" i="9"/>
  <c r="A12" i="9"/>
  <c r="D11" i="9"/>
  <c r="B11" i="9"/>
  <c r="A11" i="9"/>
  <c r="D10" i="9"/>
  <c r="B10" i="9"/>
  <c r="A10" i="9"/>
  <c r="E9" i="9"/>
  <c r="D9" i="9"/>
  <c r="A9" i="9"/>
  <c r="D8" i="9"/>
  <c r="A8" i="9"/>
  <c r="D7" i="9"/>
  <c r="A7" i="9"/>
  <c r="E6" i="9"/>
  <c r="D6" i="9"/>
  <c r="A6" i="9"/>
  <c r="F5" i="9"/>
  <c r="E5" i="9"/>
  <c r="D5" i="9"/>
  <c r="A5" i="9"/>
  <c r="F4" i="9"/>
  <c r="E4" i="9"/>
  <c r="D4" i="9"/>
  <c r="B4" i="9"/>
  <c r="A4" i="9"/>
  <c r="F3" i="9"/>
  <c r="E3" i="9"/>
  <c r="D3" i="9"/>
  <c r="B3" i="9"/>
  <c r="A3" i="9"/>
  <c r="E2" i="9"/>
  <c r="D2" i="9"/>
  <c r="B2" i="9"/>
  <c r="C3" i="1" l="1"/>
  <c r="C3" i="9" s="1"/>
  <c r="O12" i="6" l="1"/>
  <c r="G19" i="4" l="1"/>
  <c r="C19" i="4"/>
  <c r="G30" i="4"/>
  <c r="C30" i="4"/>
  <c r="G10" i="4"/>
  <c r="C10" i="4"/>
  <c r="G9" i="4"/>
  <c r="G4" i="4"/>
  <c r="G5" i="4"/>
  <c r="G6" i="4"/>
  <c r="G7" i="4"/>
  <c r="G8" i="4"/>
  <c r="G11" i="4"/>
  <c r="G12" i="4"/>
  <c r="J12" i="6"/>
  <c r="C41" i="1"/>
  <c r="C31" i="1"/>
  <c r="C31" i="9" s="1"/>
  <c r="B9" i="1"/>
  <c r="B8" i="1"/>
  <c r="B8" i="9" s="1"/>
  <c r="B7" i="1"/>
  <c r="B7" i="9" s="1"/>
  <c r="B6" i="1"/>
  <c r="B6" i="9" s="1"/>
  <c r="B5" i="1"/>
  <c r="B5" i="9" s="1"/>
  <c r="F11" i="7"/>
  <c r="H11" i="7" s="1"/>
  <c r="F29" i="7"/>
  <c r="H29" i="7" s="1"/>
  <c r="A2" i="9"/>
  <c r="B4" i="6"/>
  <c r="U12" i="6" s="1"/>
  <c r="B10" i="8"/>
  <c r="C10" i="8" s="1"/>
  <c r="D5" i="8" s="1"/>
  <c r="D36" i="6"/>
  <c r="T36" i="6" s="1"/>
  <c r="G36" i="6"/>
  <c r="J36" i="6"/>
  <c r="K36" i="6" s="1"/>
  <c r="D31" i="6"/>
  <c r="T31" i="6" s="1"/>
  <c r="J31" i="6"/>
  <c r="D29" i="6"/>
  <c r="T29" i="6" s="1"/>
  <c r="J29" i="6"/>
  <c r="D28" i="6"/>
  <c r="T28" i="6" s="1"/>
  <c r="G28" i="6"/>
  <c r="J28" i="6"/>
  <c r="K28" i="6" s="1"/>
  <c r="D27" i="6"/>
  <c r="T27" i="6" s="1"/>
  <c r="J27" i="6"/>
  <c r="D26" i="6"/>
  <c r="T26" i="6" s="1"/>
  <c r="G26" i="6"/>
  <c r="L26" i="6" s="1"/>
  <c r="J26" i="6"/>
  <c r="K26" i="6" s="1"/>
  <c r="D25" i="6"/>
  <c r="T25" i="6" s="1"/>
  <c r="J25" i="6"/>
  <c r="J14" i="6"/>
  <c r="K14" i="6" s="1"/>
  <c r="M14" i="6" s="1"/>
  <c r="D14" i="6"/>
  <c r="T14" i="6" s="1"/>
  <c r="G14" i="6"/>
  <c r="J13" i="6"/>
  <c r="J11" i="6"/>
  <c r="J9" i="6"/>
  <c r="M9" i="6" s="1"/>
  <c r="D9" i="6"/>
  <c r="T9" i="6" s="1"/>
  <c r="G9" i="6"/>
  <c r="K9" i="6"/>
  <c r="L9" i="6"/>
  <c r="J8" i="6"/>
  <c r="K8" i="6" s="1"/>
  <c r="D8" i="6"/>
  <c r="T8" i="6" s="1"/>
  <c r="G8" i="6"/>
  <c r="L8" i="6" s="1"/>
  <c r="L36" i="6"/>
  <c r="L28" i="6"/>
  <c r="L14" i="6"/>
  <c r="D35" i="6"/>
  <c r="T35" i="6" s="1"/>
  <c r="J35" i="6"/>
  <c r="J34" i="6"/>
  <c r="J33" i="6"/>
  <c r="K33" i="6" s="1"/>
  <c r="J32" i="6"/>
  <c r="J30" i="6"/>
  <c r="J15" i="6"/>
  <c r="D10" i="6"/>
  <c r="T10" i="6" s="1"/>
  <c r="G10" i="6"/>
  <c r="L10" i="6"/>
  <c r="J10" i="6"/>
  <c r="M10" i="6" s="1"/>
  <c r="K10" i="6"/>
  <c r="J7" i="6"/>
  <c r="H30" i="7"/>
  <c r="H13" i="7"/>
  <c r="H36" i="6"/>
  <c r="O36" i="6" s="1"/>
  <c r="R36" i="6"/>
  <c r="D34" i="6"/>
  <c r="T34" i="6" s="1"/>
  <c r="D33" i="6"/>
  <c r="T33" i="6" s="1"/>
  <c r="G33" i="6"/>
  <c r="H10" i="6"/>
  <c r="O10" i="6" s="1"/>
  <c r="R10" i="6"/>
  <c r="H9" i="6"/>
  <c r="O9" i="6" s="1"/>
  <c r="H8" i="6"/>
  <c r="O8" i="6" s="1"/>
  <c r="E8" i="5"/>
  <c r="H22" i="7"/>
  <c r="H5" i="7"/>
  <c r="A1" i="9"/>
  <c r="B9" i="8"/>
  <c r="D6" i="8"/>
  <c r="F6" i="8"/>
  <c r="C5" i="8"/>
  <c r="B5" i="8"/>
  <c r="G32" i="4"/>
  <c r="G31" i="4"/>
  <c r="G22" i="4"/>
  <c r="G21" i="4"/>
  <c r="G20" i="4"/>
  <c r="C11" i="4"/>
  <c r="C9" i="4"/>
  <c r="C22" i="4"/>
  <c r="C21" i="4"/>
  <c r="C32" i="4"/>
  <c r="C33" i="4"/>
  <c r="G43" i="4"/>
  <c r="G42" i="4"/>
  <c r="C42" i="4"/>
  <c r="G54" i="4"/>
  <c r="G53" i="4"/>
  <c r="G33" i="4"/>
  <c r="G29" i="4"/>
  <c r="C29" i="4"/>
  <c r="G28" i="4"/>
  <c r="C28" i="4"/>
  <c r="G27" i="4"/>
  <c r="G34" i="4" s="1"/>
  <c r="C27" i="4"/>
  <c r="G23" i="3"/>
  <c r="H23" i="3"/>
  <c r="G22" i="3"/>
  <c r="H22" i="3" s="1"/>
  <c r="H24" i="3" s="1"/>
  <c r="G21" i="3"/>
  <c r="H21" i="3"/>
  <c r="G20" i="3"/>
  <c r="H20" i="3"/>
  <c r="G24" i="3"/>
  <c r="D32" i="6"/>
  <c r="T32" i="6" s="1"/>
  <c r="H12" i="7"/>
  <c r="F27" i="7"/>
  <c r="D7" i="5"/>
  <c r="E7" i="5" s="1"/>
  <c r="H20" i="7"/>
  <c r="H14" i="7"/>
  <c r="H10" i="7"/>
  <c r="H9" i="7"/>
  <c r="H8" i="7"/>
  <c r="H7" i="7"/>
  <c r="H31" i="7"/>
  <c r="H28" i="7"/>
  <c r="H27" i="7"/>
  <c r="H26" i="7"/>
  <c r="H25" i="7"/>
  <c r="H24" i="7"/>
  <c r="D30" i="6"/>
  <c r="T30" i="6" s="1"/>
  <c r="H28" i="6"/>
  <c r="O28" i="6" s="1"/>
  <c r="G30" i="6"/>
  <c r="H30" i="6"/>
  <c r="O30" i="6" s="1"/>
  <c r="H14" i="6"/>
  <c r="O14" i="6" s="1"/>
  <c r="E10" i="5"/>
  <c r="E9" i="5"/>
  <c r="E6" i="5"/>
  <c r="K30" i="6"/>
  <c r="L30" i="6"/>
  <c r="M30" i="6" s="1"/>
  <c r="H26" i="6"/>
  <c r="O26" i="6" s="1"/>
  <c r="R28" i="6"/>
  <c r="G55" i="4"/>
  <c r="G52" i="4"/>
  <c r="G51" i="4"/>
  <c r="G50" i="4"/>
  <c r="G44" i="4"/>
  <c r="G41" i="4"/>
  <c r="G40" i="4"/>
  <c r="G39" i="4"/>
  <c r="G38" i="4"/>
  <c r="G45" i="4" s="1"/>
  <c r="D28" i="1" s="1"/>
  <c r="D28" i="9" s="1"/>
  <c r="G18" i="4"/>
  <c r="G16" i="4"/>
  <c r="G17" i="4"/>
  <c r="G23" i="4"/>
  <c r="D26" i="1"/>
  <c r="C55" i="4"/>
  <c r="C52" i="4"/>
  <c r="C51" i="4"/>
  <c r="C50" i="4"/>
  <c r="C49" i="4"/>
  <c r="C44" i="4"/>
  <c r="C41" i="4"/>
  <c r="C40" i="4"/>
  <c r="C39" i="4"/>
  <c r="C38" i="4"/>
  <c r="C18" i="4"/>
  <c r="C17" i="4"/>
  <c r="C16" i="4"/>
  <c r="C8" i="4"/>
  <c r="C7" i="4"/>
  <c r="C6" i="4"/>
  <c r="C5" i="4"/>
  <c r="C4" i="4"/>
  <c r="G39" i="3"/>
  <c r="H39" i="3" s="1"/>
  <c r="G38" i="3"/>
  <c r="H38" i="3"/>
  <c r="G37" i="3"/>
  <c r="H37" i="3" s="1"/>
  <c r="G36" i="3"/>
  <c r="H36" i="3" s="1"/>
  <c r="G31" i="3"/>
  <c r="H31" i="3" s="1"/>
  <c r="G30" i="3"/>
  <c r="H30" i="3"/>
  <c r="G29" i="3"/>
  <c r="H29" i="3" s="1"/>
  <c r="H32" i="3" s="1"/>
  <c r="G28" i="3"/>
  <c r="G15" i="3"/>
  <c r="H15" i="3"/>
  <c r="G14" i="3"/>
  <c r="H14" i="3"/>
  <c r="G13" i="3"/>
  <c r="H13" i="3"/>
  <c r="G12" i="3"/>
  <c r="H12" i="3" s="1"/>
  <c r="H16" i="3" s="1"/>
  <c r="G7" i="3"/>
  <c r="H7" i="3"/>
  <c r="G6" i="3"/>
  <c r="H6" i="3"/>
  <c r="G5" i="3"/>
  <c r="H5" i="3"/>
  <c r="G4" i="3"/>
  <c r="H4" i="3" s="1"/>
  <c r="H8" i="3" s="1"/>
  <c r="H28" i="3"/>
  <c r="E20" i="1"/>
  <c r="E35" i="1"/>
  <c r="E35" i="9" s="1"/>
  <c r="E30" i="1"/>
  <c r="E31" i="1"/>
  <c r="E25" i="1"/>
  <c r="H6" i="8"/>
  <c r="H40" i="3" l="1"/>
  <c r="C24" i="3"/>
  <c r="M26" i="6"/>
  <c r="G16" i="3"/>
  <c r="C16" i="3" s="1"/>
  <c r="R30" i="6"/>
  <c r="E41" i="1"/>
  <c r="C41" i="9"/>
  <c r="F25" i="1"/>
  <c r="F25" i="9" s="1"/>
  <c r="E25" i="9"/>
  <c r="G32" i="3"/>
  <c r="M8" i="6"/>
  <c r="G8" i="3"/>
  <c r="K34" i="6"/>
  <c r="M34" i="6" s="1"/>
  <c r="L35" i="6"/>
  <c r="F31" i="1"/>
  <c r="F31" i="9" s="1"/>
  <c r="E31" i="9"/>
  <c r="F30" i="1"/>
  <c r="F30" i="9" s="1"/>
  <c r="E30" i="9"/>
  <c r="F20" i="1"/>
  <c r="F20" i="9" s="1"/>
  <c r="E20" i="9"/>
  <c r="R26" i="6"/>
  <c r="G32" i="6"/>
  <c r="R8" i="6"/>
  <c r="G34" i="6"/>
  <c r="L34" i="6" s="1"/>
  <c r="G35" i="6"/>
  <c r="K25" i="6"/>
  <c r="H25" i="6"/>
  <c r="L33" i="6"/>
  <c r="M33" i="6" s="1"/>
  <c r="H33" i="6"/>
  <c r="L29" i="6"/>
  <c r="G40" i="3"/>
  <c r="E26" i="1"/>
  <c r="E26" i="9" s="1"/>
  <c r="D26" i="9"/>
  <c r="R14" i="6"/>
  <c r="R9" i="6"/>
  <c r="M28" i="6"/>
  <c r="G25" i="6"/>
  <c r="L25" i="6" s="1"/>
  <c r="G27" i="6"/>
  <c r="K27" i="6" s="1"/>
  <c r="G31" i="6"/>
  <c r="K31" i="6" s="1"/>
  <c r="H32" i="7"/>
  <c r="D19" i="1" s="1"/>
  <c r="D19" i="9" s="1"/>
  <c r="C10" i="1"/>
  <c r="C10" i="9" s="1"/>
  <c r="B9" i="9"/>
  <c r="M36" i="6"/>
  <c r="G29" i="6"/>
  <c r="H29" i="6" s="1"/>
  <c r="H15" i="7"/>
  <c r="D18" i="1" s="1"/>
  <c r="D18" i="9" s="1"/>
  <c r="E13" i="1"/>
  <c r="E13" i="9" s="1"/>
  <c r="D4" i="8"/>
  <c r="F4" i="8" s="1"/>
  <c r="C4" i="1"/>
  <c r="C4" i="9" s="1"/>
  <c r="F6" i="1"/>
  <c r="F6" i="9" s="1"/>
  <c r="C6" i="1"/>
  <c r="C6" i="9" s="1"/>
  <c r="F35" i="1"/>
  <c r="F35" i="9" s="1"/>
  <c r="C9" i="1"/>
  <c r="C8" i="1"/>
  <c r="C8" i="9" s="1"/>
  <c r="U33" i="6"/>
  <c r="F5" i="8"/>
  <c r="H5" i="8" s="1"/>
  <c r="U32" i="6"/>
  <c r="U26" i="6"/>
  <c r="V26" i="6" s="1"/>
  <c r="B7" i="6"/>
  <c r="D7" i="6" s="1"/>
  <c r="C11" i="6"/>
  <c r="D11" i="6" s="1"/>
  <c r="T11" i="6" s="1"/>
  <c r="U25" i="6"/>
  <c r="U7" i="6"/>
  <c r="U10" i="6"/>
  <c r="V10" i="6" s="1"/>
  <c r="U11" i="6"/>
  <c r="U27" i="6"/>
  <c r="U35" i="6"/>
  <c r="U9" i="6"/>
  <c r="U13" i="6"/>
  <c r="U29" i="6"/>
  <c r="U14" i="6"/>
  <c r="U31" i="6"/>
  <c r="E18" i="1"/>
  <c r="E18" i="9" s="1"/>
  <c r="U34" i="6"/>
  <c r="B13" i="6"/>
  <c r="D13" i="6" s="1"/>
  <c r="T13" i="6" s="1"/>
  <c r="U8" i="6"/>
  <c r="V8" i="6" s="1"/>
  <c r="U15" i="6"/>
  <c r="U28" i="6"/>
  <c r="V28" i="6" s="1"/>
  <c r="U30" i="6"/>
  <c r="V30" i="6" s="1"/>
  <c r="U36" i="6"/>
  <c r="V36" i="6" s="1"/>
  <c r="C12" i="6"/>
  <c r="D12" i="6" s="1"/>
  <c r="T12" i="6" s="1"/>
  <c r="H33" i="7" l="1"/>
  <c r="M25" i="6"/>
  <c r="L32" i="6"/>
  <c r="H32" i="6"/>
  <c r="K32" i="6"/>
  <c r="O25" i="6"/>
  <c r="R25" i="6"/>
  <c r="V25" i="6" s="1"/>
  <c r="H27" i="6"/>
  <c r="D39" i="1" s="1"/>
  <c r="D39" i="9" s="1"/>
  <c r="F41" i="1"/>
  <c r="F41" i="9" s="1"/>
  <c r="E41" i="9"/>
  <c r="L31" i="6"/>
  <c r="M31" i="6" s="1"/>
  <c r="H31" i="6"/>
  <c r="C40" i="3"/>
  <c r="D24" i="1" s="1"/>
  <c r="D24" i="9" s="1"/>
  <c r="C24" i="1"/>
  <c r="C24" i="9" s="1"/>
  <c r="C21" i="1"/>
  <c r="C8" i="3"/>
  <c r="D21" i="1" s="1"/>
  <c r="D21" i="9" s="1"/>
  <c r="G10" i="1"/>
  <c r="C9" i="9"/>
  <c r="H35" i="6"/>
  <c r="K35" i="6"/>
  <c r="M35" i="6" s="1"/>
  <c r="L27" i="6"/>
  <c r="M27" i="6" s="1"/>
  <c r="H34" i="6"/>
  <c r="V14" i="6"/>
  <c r="V9" i="6"/>
  <c r="F26" i="1"/>
  <c r="F26" i="9" s="1"/>
  <c r="O29" i="6"/>
  <c r="R29" i="6"/>
  <c r="V29" i="6" s="1"/>
  <c r="O33" i="6"/>
  <c r="V33" i="6" s="1"/>
  <c r="R33" i="6"/>
  <c r="C32" i="3"/>
  <c r="D23" i="1" s="1"/>
  <c r="D23" i="9" s="1"/>
  <c r="C23" i="1"/>
  <c r="C23" i="9" s="1"/>
  <c r="K29" i="6"/>
  <c r="M29" i="6" s="1"/>
  <c r="H4" i="8"/>
  <c r="F13" i="1"/>
  <c r="F13" i="9" s="1"/>
  <c r="C5" i="1"/>
  <c r="F8" i="1"/>
  <c r="F8" i="9" s="1"/>
  <c r="G7" i="6"/>
  <c r="K7" i="6" s="1"/>
  <c r="T7" i="6"/>
  <c r="G11" i="6"/>
  <c r="L11" i="6" s="1"/>
  <c r="G12" i="6"/>
  <c r="K12" i="6" s="1"/>
  <c r="E19" i="1"/>
  <c r="E19" i="9" s="1"/>
  <c r="B15" i="6"/>
  <c r="D15" i="6" s="1"/>
  <c r="T15" i="6" s="1"/>
  <c r="G13" i="6"/>
  <c r="K13" i="6" s="1"/>
  <c r="F18" i="1"/>
  <c r="F18" i="9" s="1"/>
  <c r="O34" i="6" l="1"/>
  <c r="R34" i="6"/>
  <c r="M32" i="6"/>
  <c r="O35" i="6"/>
  <c r="R35" i="6"/>
  <c r="V35" i="6"/>
  <c r="O32" i="6"/>
  <c r="V32" i="6" s="1"/>
  <c r="R32" i="6"/>
  <c r="C21" i="9"/>
  <c r="E21" i="1"/>
  <c r="O27" i="6"/>
  <c r="V27" i="6" s="1"/>
  <c r="R27" i="6"/>
  <c r="O31" i="6"/>
  <c r="R31" i="6"/>
  <c r="C2" i="1"/>
  <c r="C2" i="9" s="1"/>
  <c r="C5" i="9"/>
  <c r="C11" i="1"/>
  <c r="C11" i="9" s="1"/>
  <c r="D27" i="1"/>
  <c r="D27" i="9" s="1"/>
  <c r="C27" i="1"/>
  <c r="C27" i="9" s="1"/>
  <c r="C7" i="1"/>
  <c r="C22" i="1"/>
  <c r="C22" i="9" s="1"/>
  <c r="D22" i="1"/>
  <c r="D22" i="9" s="1"/>
  <c r="E15" i="1"/>
  <c r="E15" i="9" s="1"/>
  <c r="L12" i="6"/>
  <c r="M12" i="6" s="1"/>
  <c r="L7" i="6"/>
  <c r="M7" i="6" s="1"/>
  <c r="H7" i="6"/>
  <c r="H11" i="6"/>
  <c r="K11" i="6"/>
  <c r="G15" i="6"/>
  <c r="K15" i="6" s="1"/>
  <c r="T45" i="6"/>
  <c r="F19" i="1"/>
  <c r="F19" i="9" s="1"/>
  <c r="H13" i="6"/>
  <c r="O13" i="6" s="1"/>
  <c r="V12" i="6"/>
  <c r="L13" i="6"/>
  <c r="V31" i="6" l="1"/>
  <c r="E21" i="9"/>
  <c r="F21" i="1"/>
  <c r="F21" i="9" s="1"/>
  <c r="V34" i="6"/>
  <c r="E39" i="1" s="1"/>
  <c r="F7" i="1"/>
  <c r="E14" i="1" s="1"/>
  <c r="C7" i="9"/>
  <c r="G3" i="9"/>
  <c r="G5" i="1"/>
  <c r="E27" i="1"/>
  <c r="E22" i="1"/>
  <c r="F15" i="1"/>
  <c r="F15" i="9" s="1"/>
  <c r="R7" i="6"/>
  <c r="O7" i="6"/>
  <c r="R11" i="6"/>
  <c r="O11" i="6"/>
  <c r="L15" i="6"/>
  <c r="L45" i="6" s="1"/>
  <c r="H15" i="6"/>
  <c r="D43" i="1" s="1"/>
  <c r="D43" i="9" s="1"/>
  <c r="M11" i="6"/>
  <c r="K45" i="6"/>
  <c r="R13" i="6"/>
  <c r="M13" i="6"/>
  <c r="E39" i="9" l="1"/>
  <c r="F39" i="1"/>
  <c r="F39" i="9" s="1"/>
  <c r="E16" i="1"/>
  <c r="E16" i="9" s="1"/>
  <c r="E14" i="9"/>
  <c r="F9" i="1"/>
  <c r="F9" i="9" s="1"/>
  <c r="E49" i="4"/>
  <c r="G49" i="4" s="1"/>
  <c r="G56" i="4" s="1"/>
  <c r="D29" i="1" s="1"/>
  <c r="D29" i="9" s="1"/>
  <c r="F7" i="9"/>
  <c r="F22" i="1"/>
  <c r="F22" i="9" s="1"/>
  <c r="E22" i="9"/>
  <c r="F27" i="1"/>
  <c r="F27" i="9" s="1"/>
  <c r="E27" i="9"/>
  <c r="C34" i="1"/>
  <c r="C34" i="9" s="1"/>
  <c r="G9" i="1"/>
  <c r="C29" i="1"/>
  <c r="C29" i="9" s="1"/>
  <c r="I10" i="1"/>
  <c r="F14" i="1"/>
  <c r="F14" i="9" s="1"/>
  <c r="V11" i="6"/>
  <c r="H45" i="6"/>
  <c r="R15" i="6"/>
  <c r="R45" i="6" s="1"/>
  <c r="V7" i="6"/>
  <c r="O15" i="6"/>
  <c r="O45" i="6" s="1"/>
  <c r="M15" i="6"/>
  <c r="M45" i="6" s="1"/>
  <c r="V13" i="6"/>
  <c r="E24" i="1" l="1"/>
  <c r="E24" i="9" s="1"/>
  <c r="F16" i="1"/>
  <c r="F16" i="9" s="1"/>
  <c r="E29" i="1"/>
  <c r="E29" i="9" s="1"/>
  <c r="C5" i="5"/>
  <c r="E5" i="5" s="1"/>
  <c r="E11" i="5" s="1"/>
  <c r="D34" i="1" s="1"/>
  <c r="D34" i="9" s="1"/>
  <c r="F24" i="1"/>
  <c r="F24" i="9" s="1"/>
  <c r="V15" i="6"/>
  <c r="E43" i="1" s="1"/>
  <c r="E43" i="9" s="1"/>
  <c r="E34" i="1" l="1"/>
  <c r="E34" i="9" s="1"/>
  <c r="F29" i="1"/>
  <c r="F29" i="9" s="1"/>
  <c r="F43" i="1"/>
  <c r="F43" i="9" s="1"/>
  <c r="F34" i="1" l="1"/>
  <c r="F34" i="9" s="1"/>
  <c r="D40" i="1" l="1"/>
  <c r="D40" i="9" s="1"/>
  <c r="F2" i="1"/>
  <c r="E40" i="1" l="1"/>
  <c r="E40" i="9" s="1"/>
  <c r="F2" i="9"/>
  <c r="C28" i="1"/>
  <c r="C28" i="9" s="1"/>
  <c r="E23" i="1"/>
  <c r="E23" i="9" s="1"/>
  <c r="E44" i="1"/>
  <c r="E44" i="9" s="1"/>
  <c r="F23" i="1" l="1"/>
  <c r="F23" i="9" s="1"/>
  <c r="E28" i="1"/>
  <c r="E28" i="9" s="1"/>
  <c r="F40" i="1"/>
  <c r="F44" i="1" l="1"/>
  <c r="F44" i="9" s="1"/>
  <c r="F40" i="9"/>
  <c r="F28" i="1"/>
  <c r="F28" i="9" s="1"/>
  <c r="C33" i="1"/>
  <c r="E32" i="1"/>
  <c r="E32" i="9" s="1"/>
  <c r="E33" i="1" l="1"/>
  <c r="E33" i="9" s="1"/>
  <c r="C33" i="9"/>
  <c r="F32" i="1"/>
  <c r="F32" i="9" s="1"/>
  <c r="F33" i="1" l="1"/>
  <c r="F33" i="9" s="1"/>
  <c r="E36" i="1"/>
  <c r="E42" i="1" l="1"/>
  <c r="E42" i="9" s="1"/>
  <c r="E36" i="9"/>
  <c r="E37" i="1"/>
  <c r="E37" i="9" s="1"/>
  <c r="E45" i="1"/>
  <c r="E45" i="9" s="1"/>
  <c r="F36" i="1"/>
  <c r="F42" i="1" l="1"/>
  <c r="F42" i="9" s="1"/>
  <c r="F36" i="9"/>
  <c r="F37" i="1"/>
  <c r="F37" i="9" s="1"/>
  <c r="F45" i="1"/>
  <c r="F45" i="9" s="1"/>
  <c r="E46" i="1"/>
  <c r="E46" i="9" s="1"/>
  <c r="F46" i="1" l="1"/>
  <c r="F46" i="9" s="1"/>
</calcChain>
</file>

<file path=xl/sharedStrings.xml><?xml version="1.0" encoding="utf-8"?>
<sst xmlns="http://schemas.openxmlformats.org/spreadsheetml/2006/main" count="460" uniqueCount="244">
  <si>
    <t>Revenue</t>
  </si>
  <si>
    <t>Heifer Calves</t>
  </si>
  <si>
    <t>Steer Calves</t>
  </si>
  <si>
    <t>Unit</t>
  </si>
  <si>
    <t>Quantity</t>
  </si>
  <si>
    <t>Price</t>
  </si>
  <si>
    <t>Total Revenue</t>
  </si>
  <si>
    <t>Operating Expenses</t>
  </si>
  <si>
    <t>Total Operating Expense</t>
  </si>
  <si>
    <t>ton</t>
  </si>
  <si>
    <t>acre</t>
  </si>
  <si>
    <t>head</t>
  </si>
  <si>
    <t>hours</t>
  </si>
  <si>
    <t>Fixed Costs</t>
  </si>
  <si>
    <t>Land Rent</t>
  </si>
  <si>
    <t>Total Fixed Costs</t>
  </si>
  <si>
    <t>Total Specified Expenses</t>
  </si>
  <si>
    <t>Returns to Operating Expenses</t>
  </si>
  <si>
    <t>Cost</t>
  </si>
  <si>
    <t>Head</t>
  </si>
  <si>
    <t>Machinery</t>
  </si>
  <si>
    <t>lb.</t>
  </si>
  <si>
    <t>Supplemental Feed, Bulls</t>
  </si>
  <si>
    <t>Supplemental Feed, Replacement Heifers</t>
  </si>
  <si>
    <t>Salt, Minerals for Cows</t>
  </si>
  <si>
    <t>Veterinary &amp; Medicine, Replacement Heifers</t>
  </si>
  <si>
    <t>Veterinary &amp; Medicine, Bulls</t>
  </si>
  <si>
    <t>Supplemental Feed, Calves Sold</t>
  </si>
  <si>
    <t>Veterinary &amp; Medicine, Calves Sold</t>
  </si>
  <si>
    <t>Supplemental Feed for Cows</t>
  </si>
  <si>
    <t>Veterinary &amp; Medicine for Cows</t>
  </si>
  <si>
    <t>Other Expenses</t>
  </si>
  <si>
    <t>Hauling and Auction for Calves &amp; Cull Cows</t>
  </si>
  <si>
    <t>Total $</t>
  </si>
  <si>
    <t>Interest</t>
  </si>
  <si>
    <t>Production Expenses</t>
  </si>
  <si>
    <t>Salvage Value</t>
  </si>
  <si>
    <t>Years of Useful Life</t>
  </si>
  <si>
    <t>Interest Rate</t>
  </si>
  <si>
    <t>Annual Deprec.</t>
  </si>
  <si>
    <t>Price $/Unit</t>
  </si>
  <si>
    <t xml:space="preserve">Head, cow herd </t>
  </si>
  <si>
    <t xml:space="preserve">Selling cwt. </t>
  </si>
  <si>
    <t>Selling $/cwt.</t>
  </si>
  <si>
    <r>
      <t>Salvage Value</t>
    </r>
    <r>
      <rPr>
        <vertAlign val="superscript"/>
        <sz val="11"/>
        <rFont val="Times New Roman"/>
        <family val="1"/>
      </rPr>
      <t>1</t>
    </r>
  </si>
  <si>
    <r>
      <t>Average Value</t>
    </r>
    <r>
      <rPr>
        <vertAlign val="superscript"/>
        <sz val="11"/>
        <rFont val="Times New Roman"/>
        <family val="1"/>
      </rPr>
      <t>2</t>
    </r>
  </si>
  <si>
    <r>
      <t>Insurance</t>
    </r>
    <r>
      <rPr>
        <vertAlign val="superscript"/>
        <sz val="11"/>
        <rFont val="Times New Roman"/>
        <family val="1"/>
      </rPr>
      <t>5</t>
    </r>
  </si>
  <si>
    <t>Buildings &amp; Handling Equipment</t>
  </si>
  <si>
    <t>Days fed</t>
  </si>
  <si>
    <t>Pounds Fed per Day</t>
  </si>
  <si>
    <t>Total Pounds Fed</t>
  </si>
  <si>
    <t>$/unit</t>
  </si>
  <si>
    <t>Cost/Cow</t>
  </si>
  <si>
    <t>Tons</t>
  </si>
  <si>
    <t>Corn gluten</t>
  </si>
  <si>
    <t>Supplemental Feed for Herd Bulls</t>
  </si>
  <si>
    <t>Item</t>
  </si>
  <si>
    <t>Number Applications</t>
  </si>
  <si>
    <t>$/Applic.</t>
  </si>
  <si>
    <t>Total Cost/Cow</t>
  </si>
  <si>
    <t>IBR,BVD,5-way Lepto, Vibrio</t>
  </si>
  <si>
    <t>Cow</t>
  </si>
  <si>
    <t>Deworm</t>
  </si>
  <si>
    <t>Delice</t>
  </si>
  <si>
    <t>Fly Tags</t>
  </si>
  <si>
    <t>Preg Check</t>
  </si>
  <si>
    <t>Other</t>
  </si>
  <si>
    <t>5-way Lepto</t>
  </si>
  <si>
    <t>Heifer</t>
  </si>
  <si>
    <t>Synchronization</t>
  </si>
  <si>
    <t>Veterinary Expenses for Herd Bulls</t>
  </si>
  <si>
    <t>Bull</t>
  </si>
  <si>
    <t>Breeding Soundness Exam</t>
  </si>
  <si>
    <t>Implant</t>
  </si>
  <si>
    <t>Calf</t>
  </si>
  <si>
    <t>IBR,PI3,BVD,BRSV</t>
  </si>
  <si>
    <t>Auction &amp; Hauling Cost Detail</t>
  </si>
  <si>
    <t>Commission</t>
  </si>
  <si>
    <t>%</t>
  </si>
  <si>
    <t>Yardage</t>
  </si>
  <si>
    <t>Hauling</t>
  </si>
  <si>
    <t>Checkoff</t>
  </si>
  <si>
    <t>Head per Haul</t>
  </si>
  <si>
    <t>Total</t>
  </si>
  <si>
    <t xml:space="preserve">     Item</t>
  </si>
  <si>
    <t>Amount</t>
  </si>
  <si>
    <t>$ per Cow</t>
  </si>
  <si>
    <t>Units</t>
  </si>
  <si>
    <t>Hay Wagon</t>
  </si>
  <si>
    <t>Corral and Chute</t>
  </si>
  <si>
    <t>Miscellaneous Items</t>
  </si>
  <si>
    <t>Disk Mower</t>
  </si>
  <si>
    <t>Hay Rake</t>
  </si>
  <si>
    <t>Salvage Percent</t>
  </si>
  <si>
    <t>Brush Mower</t>
  </si>
  <si>
    <t>Purchased Breeding Stock</t>
  </si>
  <si>
    <r>
      <t>Repairs</t>
    </r>
    <r>
      <rPr>
        <vertAlign val="superscript"/>
        <sz val="11"/>
        <rFont val="Times New Roman"/>
        <family val="1"/>
      </rPr>
      <t>7</t>
    </r>
  </si>
  <si>
    <t>Prorated Establishment Cost</t>
  </si>
  <si>
    <t>Fertilizer</t>
  </si>
  <si>
    <t>Machinery Fuel</t>
  </si>
  <si>
    <t>lbs.</t>
  </si>
  <si>
    <t>tons</t>
  </si>
  <si>
    <t>Tons per Acre</t>
  </si>
  <si>
    <t>Herbicide</t>
  </si>
  <si>
    <t>gallons</t>
  </si>
  <si>
    <t>Total Cost per Acre</t>
  </si>
  <si>
    <t>Total Cost per Ton</t>
  </si>
  <si>
    <t>Cuttings</t>
  </si>
  <si>
    <t>Tons per Cut</t>
  </si>
  <si>
    <t>Pasture Production</t>
  </si>
  <si>
    <t>Hay Production</t>
  </si>
  <si>
    <r>
      <rPr>
        <vertAlign val="superscript"/>
        <sz val="11"/>
        <rFont val="Times New Roman"/>
        <family val="1"/>
      </rPr>
      <t>1</t>
    </r>
    <r>
      <rPr>
        <sz val="11"/>
        <rFont val="Times New Roman"/>
        <family val="1"/>
      </rPr>
      <t>Salvage Value is assumed percentage of Cost</t>
    </r>
  </si>
  <si>
    <t>Breeding Stock</t>
  </si>
  <si>
    <t xml:space="preserve">Pasture Per Acre Cost Detail </t>
  </si>
  <si>
    <t xml:space="preserve">Hay Per Acre Cost Detail </t>
  </si>
  <si>
    <t>Unit wt. in lbs.</t>
  </si>
  <si>
    <t>Cost/Heifer</t>
  </si>
  <si>
    <t>Cost/Bull</t>
  </si>
  <si>
    <t>Cost/Calf</t>
  </si>
  <si>
    <t>Total Cost/Heifer</t>
  </si>
  <si>
    <t>Total Cost/Bull</t>
  </si>
  <si>
    <t>Total Cost/Calf</t>
  </si>
  <si>
    <t>Fertilizer Spreader</t>
  </si>
  <si>
    <t>ATV with Sprayer</t>
  </si>
  <si>
    <t>Fixed Costs per Head</t>
  </si>
  <si>
    <t>Head, cull cows sold</t>
  </si>
  <si>
    <t>Bulls Purchased</t>
  </si>
  <si>
    <t>Culled Purchased Replacements</t>
  </si>
  <si>
    <t>Culled Bulls</t>
  </si>
  <si>
    <t>Culled Cows</t>
  </si>
  <si>
    <t>Percent of Total</t>
  </si>
  <si>
    <t>Calving rate, percent</t>
  </si>
  <si>
    <t>Death loss for cow herd, percent</t>
  </si>
  <si>
    <t>Cull cows sold from cow herd, percent</t>
  </si>
  <si>
    <t xml:space="preserve">Clostridial Vaccine </t>
  </si>
  <si>
    <r>
      <t xml:space="preserve">Property Tax </t>
    </r>
    <r>
      <rPr>
        <vertAlign val="superscript"/>
        <sz val="11"/>
        <rFont val="Times New Roman"/>
        <family val="1"/>
      </rPr>
      <t>6</t>
    </r>
  </si>
  <si>
    <t>Cull Cows</t>
  </si>
  <si>
    <t>Purchased Heifers, not bred for current year</t>
  </si>
  <si>
    <t>Purchased heifers, not bred for current year</t>
  </si>
  <si>
    <t>Miles, one way</t>
  </si>
  <si>
    <t>Heifers Purchased, not bred for current year</t>
  </si>
  <si>
    <t>Cows Purchased, percent of current cow herd</t>
  </si>
  <si>
    <t>Percent of full retained heifer replacement rate</t>
  </si>
  <si>
    <t xml:space="preserve">Full retained heifer replacement rate </t>
  </si>
  <si>
    <t>Retained heifer replacement rate</t>
  </si>
  <si>
    <t>Head, retained replacement heifers</t>
  </si>
  <si>
    <t>Veterinary Expenses for Retained Replacement Heifers</t>
  </si>
  <si>
    <t>Veterinary Expenses for Purchased Replacement Heifers</t>
  </si>
  <si>
    <t>Supplemental Feed for Retained Replacement Heifers</t>
  </si>
  <si>
    <t>Supplemental Feed for Purchased Replacement Heifers</t>
  </si>
  <si>
    <t>Veterinary Expenses for Cows</t>
  </si>
  <si>
    <t>Pasture &amp; Hay Machinery, Equipment</t>
  </si>
  <si>
    <t>Yrs., (10)</t>
  </si>
  <si>
    <t>Yrs.,(10)</t>
  </si>
  <si>
    <t>Tractor Mounted Sprayer</t>
  </si>
  <si>
    <t>Brucellosis Fee</t>
  </si>
  <si>
    <r>
      <rPr>
        <vertAlign val="superscript"/>
        <sz val="11"/>
        <rFont val="Times New Roman"/>
        <family val="1"/>
      </rPr>
      <t>1</t>
    </r>
    <r>
      <rPr>
        <sz val="11"/>
        <rFont val="Times New Roman"/>
        <family val="1"/>
      </rPr>
      <t>Salvage Value is an assumed percentage of Cost</t>
    </r>
  </si>
  <si>
    <t>Purchased Hay per Cow</t>
  </si>
  <si>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>Average Value is the summation of (Cost plus Salvage Value) divided by 2</t>
    </r>
  </si>
  <si>
    <t>Property Rate</t>
  </si>
  <si>
    <t>Millage Rate</t>
  </si>
  <si>
    <r>
      <rPr>
        <vertAlign val="superscript"/>
        <sz val="11"/>
        <rFont val="Times New Roman"/>
        <family val="1"/>
      </rPr>
      <t>6</t>
    </r>
    <r>
      <rPr>
        <sz val="11"/>
        <rFont val="Times New Roman"/>
        <family val="1"/>
      </rPr>
      <t>Property Tax rate applied to Average Value</t>
    </r>
  </si>
  <si>
    <r>
      <t>Annual Factor</t>
    </r>
    <r>
      <rPr>
        <vertAlign val="superscript"/>
        <sz val="11"/>
        <rFont val="Times New Roman"/>
        <family val="1"/>
      </rPr>
      <t>3</t>
    </r>
  </si>
  <si>
    <r>
      <t>Annual Expense</t>
    </r>
    <r>
      <rPr>
        <vertAlign val="superscript"/>
        <sz val="11"/>
        <color theme="1"/>
        <rFont val="Times New Roman"/>
        <family val="1"/>
      </rPr>
      <t>4</t>
    </r>
  </si>
  <si>
    <r>
      <rPr>
        <vertAlign val="superscript"/>
        <sz val="11"/>
        <rFont val="Times New Roman"/>
        <family val="1"/>
      </rPr>
      <t>4</t>
    </r>
    <r>
      <rPr>
        <sz val="11"/>
        <rFont val="Times New Roman"/>
        <family val="1"/>
      </rPr>
      <t>Annual Expense is (Cost - Salvage Value) x Annual Factor + (Salvage Value x Interest Rate)</t>
    </r>
  </si>
  <si>
    <t>Annual Principle</t>
  </si>
  <si>
    <t>Annual Interest</t>
  </si>
  <si>
    <t>Years</t>
  </si>
  <si>
    <r>
      <t>3</t>
    </r>
    <r>
      <rPr>
        <sz val="11"/>
        <rFont val="Times New Roman"/>
        <family val="1"/>
      </rPr>
      <t>Annual Factor is Interest Rate x (1+Interest Rate)</t>
    </r>
    <r>
      <rPr>
        <vertAlign val="superscript"/>
        <sz val="11"/>
        <rFont val="Times New Roman"/>
        <family val="1"/>
      </rPr>
      <t>Years</t>
    </r>
    <r>
      <rPr>
        <sz val="11"/>
        <rFont val="Times New Roman"/>
        <family val="1"/>
      </rPr>
      <t>divided by (1+Interest Rate)</t>
    </r>
    <r>
      <rPr>
        <vertAlign val="superscript"/>
        <sz val="11"/>
        <rFont val="Times New Roman"/>
        <family val="1"/>
      </rPr>
      <t>Years - 1</t>
    </r>
  </si>
  <si>
    <t>Other Tractor</t>
  </si>
  <si>
    <t>Culled Purchased Replacements are</t>
  </si>
  <si>
    <t>culled after the assumed useful life.</t>
  </si>
  <si>
    <t>purchased replacement heifers that are</t>
  </si>
  <si>
    <t>Custom Application</t>
  </si>
  <si>
    <t>Total Feed per Cow</t>
  </si>
  <si>
    <t>Total Feed per Retained Replacement Heifer</t>
  </si>
  <si>
    <t>Total Feed per Purchased Replacement Heifer, not bred for current year</t>
  </si>
  <si>
    <t>Total Feed per Calf</t>
  </si>
  <si>
    <t>Total Feed per Herd Bull</t>
  </si>
  <si>
    <t>per lb. of feed</t>
  </si>
  <si>
    <t>Total Vet Expenses per Cow</t>
  </si>
  <si>
    <t>Total Vet Expenses per Retained Replacement Heifer</t>
  </si>
  <si>
    <t>Total Vet Expenses per Purchased Replacement Heifer, not bred for current year</t>
  </si>
  <si>
    <t>Total Vet Expenses per Bull</t>
  </si>
  <si>
    <t>Total Vet Expenses per Calf</t>
  </si>
  <si>
    <t>Total per Acre</t>
  </si>
  <si>
    <t>Total per Head Sold</t>
  </si>
  <si>
    <t>Stock Trailer</t>
  </si>
  <si>
    <t>Hay Baler, Large Round</t>
  </si>
  <si>
    <t>Tractor, 60 PTO hp</t>
  </si>
  <si>
    <t>Watering, pump and system</t>
  </si>
  <si>
    <t>Fencing, material costs/linear ft.</t>
  </si>
  <si>
    <t>Litter, price includes application</t>
  </si>
  <si>
    <t>Shed (600 sqft.)</t>
  </si>
  <si>
    <t>Hay Barn (1,200 sqft./40 cows)</t>
  </si>
  <si>
    <t>Head/Day</t>
  </si>
  <si>
    <t>Truck, portion for cattle operation</t>
  </si>
  <si>
    <t>Head Sold</t>
  </si>
  <si>
    <t>Heifers, percent of calving rate calves</t>
  </si>
  <si>
    <t>Death loss for steers, percent of total steers</t>
  </si>
  <si>
    <t>Death loss for heifers, percent of total heifers</t>
  </si>
  <si>
    <t>Calves, total</t>
  </si>
  <si>
    <t>Labor, Hired - Enter as Annual Hours/Cow</t>
  </si>
  <si>
    <t>=</t>
  </si>
  <si>
    <t>Fencing, labor cost/linear ft.</t>
  </si>
  <si>
    <t>Goto Pasture Worksheet</t>
  </si>
  <si>
    <t>Goto Hay Worksheet</t>
  </si>
  <si>
    <t>Goto Supplemental Feed Worksheet, Cows</t>
  </si>
  <si>
    <t>Goto Supplemental Feed Worksheet, Replacement Heifers</t>
  </si>
  <si>
    <t>Goto Supplemental Feed Worksheet, Bulls</t>
  </si>
  <si>
    <t>Goto Supplemental Feed Worksheet, Calves Sold</t>
  </si>
  <si>
    <t>Goto Medicine Worksheet, Cows</t>
  </si>
  <si>
    <t>Goto Medicine Worksheet, Replacement Heifers</t>
  </si>
  <si>
    <t>Goto Medicine Worksheet, Bulls</t>
  </si>
  <si>
    <t>Goto Medicine Worksheet, Calves Sold</t>
  </si>
  <si>
    <t>Goto Auction Worksheet</t>
  </si>
  <si>
    <t>Goto Buildings Worksheet</t>
  </si>
  <si>
    <t>Goto Machinery Worksheet</t>
  </si>
  <si>
    <t>Veterinary Expenses for Calves Sold</t>
  </si>
  <si>
    <t>Supplemental Feed for Calves Sold</t>
  </si>
  <si>
    <t>Return to Budget Worksheet</t>
  </si>
  <si>
    <t>Goto Purchased Stock Worksheet</t>
  </si>
  <si>
    <t>Lime, Applied</t>
  </si>
  <si>
    <t>Insurance Factor</t>
  </si>
  <si>
    <t>Repair Factor</t>
  </si>
  <si>
    <r>
      <rPr>
        <vertAlign val="superscript"/>
        <sz val="11"/>
        <rFont val="Times New Roman"/>
        <family val="1"/>
      </rPr>
      <t>7</t>
    </r>
    <r>
      <rPr>
        <sz val="11"/>
        <rFont val="Times New Roman"/>
        <family val="1"/>
      </rPr>
      <t>Repairs assumes Cost times Repair Factor</t>
    </r>
  </si>
  <si>
    <r>
      <rPr>
        <vertAlign val="superscript"/>
        <sz val="11"/>
        <rFont val="Times New Roman"/>
        <family val="1"/>
      </rPr>
      <t>5</t>
    </r>
    <r>
      <rPr>
        <sz val="11"/>
        <rFont val="Times New Roman"/>
        <family val="1"/>
      </rPr>
      <t>Insurance assumes Average Value times Insurance Factor</t>
    </r>
  </si>
  <si>
    <t>Bulls, head</t>
  </si>
  <si>
    <t>Cows/Bull</t>
  </si>
  <si>
    <t>Death loss for cow herd, head</t>
  </si>
  <si>
    <t>Net Returns to Total Specified Expenses</t>
  </si>
  <si>
    <t xml:space="preserve">Net Returns </t>
  </si>
  <si>
    <t xml:space="preserve">Interest, Expenses: months and annual rate </t>
  </si>
  <si>
    <t xml:space="preserve">Livestock Facilities </t>
  </si>
  <si>
    <t>Herd Change</t>
  </si>
  <si>
    <t>Steers</t>
  </si>
  <si>
    <t xml:space="preserve">Heifers   </t>
  </si>
  <si>
    <t xml:space="preserve">Heifer, Rate Sold    Head </t>
  </si>
  <si>
    <t>Steer, Rate Sold      Head</t>
  </si>
  <si>
    <t>Black Leg</t>
  </si>
  <si>
    <t>Nitrogen - Urea</t>
  </si>
  <si>
    <t>Phosphorus - Triple Phosphate</t>
  </si>
  <si>
    <t>Potassium - Potash</t>
  </si>
  <si>
    <t>Cow/Calf Budget per Cow and Total Cow Herd,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</si>
</sst>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0.000"/>
    <numFmt numFmtId="166" formatCode="#,##0.000"/>
    <numFmt numFmtId="167" formatCode="0.00000"/>
    <numFmt numFmtId="168" formatCode="#,##0.00000"/>
    <numFmt numFmtId="169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vertAlign val="superscript"/>
      <sz val="11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8"/>
      <name val="Arial"/>
      <family val="2"/>
    </font>
    <font>
      <sz val="10"/>
      <name val="Arial"/>
      <family val="2"/>
      <charset val="1"/>
    </font>
    <font>
      <sz val="11"/>
      <color rgb="FF000000"/>
      <name val="Times New Roman"/>
      <family val="1"/>
    </font>
    <font>
      <vertAlign val="superscript"/>
      <sz val="11"/>
      <color theme="1"/>
      <name val="Times New Roman"/>
      <family val="1"/>
    </font>
    <font>
      <sz val="11"/>
      <color rgb="FFFF0000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0"/>
      <name val="Times New Roman"/>
      <family val="1"/>
    </font>
    <font>
      <u/>
      <sz val="11"/>
      <color rgb="FF0000FF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9"/>
      </patternFill>
    </fill>
    <fill>
      <patternFill patternType="solid">
        <fgColor theme="9" tint="0.59999389629810485"/>
        <bgColor indexed="9"/>
      </patternFill>
    </fill>
    <fill>
      <patternFill patternType="solid">
        <fgColor rgb="FFFFFFFF"/>
        <bgColor rgb="FFFFFFCC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" fillId="0" borderId="0"/>
    <xf numFmtId="0" fontId="10" fillId="0" borderId="0"/>
    <xf numFmtId="0" fontId="12" fillId="6" borderId="0"/>
    <xf numFmtId="7" fontId="10" fillId="6" borderId="0"/>
    <xf numFmtId="10" fontId="10" fillId="6" borderId="0"/>
    <xf numFmtId="0" fontId="13" fillId="0" borderId="0"/>
    <xf numFmtId="0" fontId="17" fillId="0" borderId="0" applyNumberFormat="0" applyFill="0" applyBorder="0" applyAlignment="0" applyProtection="0"/>
  </cellStyleXfs>
  <cellXfs count="362">
    <xf numFmtId="0" fontId="0" fillId="0" borderId="0" xfId="0"/>
    <xf numFmtId="3" fontId="1" fillId="2" borderId="0" xfId="0" applyNumberFormat="1" applyFont="1" applyFill="1"/>
    <xf numFmtId="2" fontId="1" fillId="2" borderId="0" xfId="0" applyNumberFormat="1" applyFont="1" applyFill="1"/>
    <xf numFmtId="0" fontId="1" fillId="3" borderId="1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2" fillId="3" borderId="0" xfId="0" applyFont="1" applyFill="1"/>
    <xf numFmtId="0" fontId="1" fillId="3" borderId="0" xfId="0" applyFont="1" applyFill="1" applyBorder="1" applyAlignment="1">
      <alignment horizontal="center"/>
    </xf>
    <xf numFmtId="2" fontId="1" fillId="3" borderId="0" xfId="0" applyNumberFormat="1" applyFont="1" applyFill="1"/>
    <xf numFmtId="0" fontId="1" fillId="3" borderId="0" xfId="0" applyFont="1" applyFill="1" applyBorder="1"/>
    <xf numFmtId="0" fontId="2" fillId="3" borderId="0" xfId="0" applyFont="1" applyFill="1" applyBorder="1"/>
    <xf numFmtId="0" fontId="0" fillId="2" borderId="0" xfId="0" applyFill="1"/>
    <xf numFmtId="0" fontId="1" fillId="2" borderId="0" xfId="0" applyFont="1" applyFill="1"/>
    <xf numFmtId="0" fontId="1" fillId="3" borderId="0" xfId="0" applyFont="1" applyFill="1" applyBorder="1" applyAlignment="1">
      <alignment horizontal="left"/>
    </xf>
    <xf numFmtId="0" fontId="1" fillId="4" borderId="0" xfId="0" applyFont="1" applyFill="1"/>
    <xf numFmtId="0" fontId="0" fillId="4" borderId="0" xfId="0" applyFill="1"/>
    <xf numFmtId="3" fontId="1" fillId="3" borderId="0" xfId="0" applyNumberFormat="1" applyFont="1" applyFill="1"/>
    <xf numFmtId="3" fontId="2" fillId="3" borderId="0" xfId="0" applyNumberFormat="1" applyFont="1" applyFill="1"/>
    <xf numFmtId="0" fontId="2" fillId="4" borderId="0" xfId="0" applyFont="1" applyFill="1"/>
    <xf numFmtId="2" fontId="2" fillId="4" borderId="0" xfId="0" applyNumberFormat="1" applyFont="1" applyFill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wrapText="1"/>
    </xf>
    <xf numFmtId="9" fontId="1" fillId="2" borderId="0" xfId="0" applyNumberFormat="1" applyFont="1" applyFill="1" applyBorder="1"/>
    <xf numFmtId="0" fontId="1" fillId="2" borderId="0" xfId="0" applyFont="1" applyFill="1" applyBorder="1"/>
    <xf numFmtId="0" fontId="0" fillId="2" borderId="0" xfId="0" applyFill="1" applyBorder="1"/>
    <xf numFmtId="0" fontId="1" fillId="2" borderId="0" xfId="0" applyFont="1" applyFill="1" applyBorder="1" applyAlignment="1">
      <alignment horizontal="left"/>
    </xf>
    <xf numFmtId="0" fontId="2" fillId="3" borderId="0" xfId="0" applyFont="1" applyFill="1" applyAlignment="1">
      <alignment horizontal="center"/>
    </xf>
    <xf numFmtId="3" fontId="1" fillId="2" borderId="2" xfId="0" applyNumberFormat="1" applyFont="1" applyFill="1" applyBorder="1" applyAlignment="1" applyProtection="1">
      <protection locked="0"/>
    </xf>
    <xf numFmtId="3" fontId="1" fillId="2" borderId="2" xfId="0" applyNumberFormat="1" applyFont="1" applyFill="1" applyBorder="1" applyAlignment="1" applyProtection="1">
      <alignment horizontal="center"/>
      <protection locked="0"/>
    </xf>
    <xf numFmtId="3" fontId="1" fillId="3" borderId="3" xfId="0" applyNumberFormat="1" applyFont="1" applyFill="1" applyBorder="1"/>
    <xf numFmtId="4" fontId="1" fillId="3" borderId="3" xfId="0" applyNumberFormat="1" applyFont="1" applyFill="1" applyBorder="1"/>
    <xf numFmtId="4" fontId="1" fillId="3" borderId="0" xfId="0" applyNumberFormat="1" applyFont="1" applyFill="1"/>
    <xf numFmtId="0" fontId="2" fillId="2" borderId="0" xfId="0" applyFont="1" applyFill="1" applyBorder="1" applyAlignment="1">
      <alignment horizontal="right"/>
    </xf>
    <xf numFmtId="4" fontId="1" fillId="2" borderId="0" xfId="0" applyNumberFormat="1" applyFont="1" applyFill="1" applyBorder="1"/>
    <xf numFmtId="0" fontId="1" fillId="3" borderId="1" xfId="0" applyFont="1" applyFill="1" applyBorder="1"/>
    <xf numFmtId="9" fontId="6" fillId="2" borderId="0" xfId="0" applyNumberFormat="1" applyFont="1" applyFill="1" applyBorder="1"/>
    <xf numFmtId="164" fontId="1" fillId="2" borderId="0" xfId="0" applyNumberFormat="1" applyFont="1" applyFill="1" applyBorder="1"/>
    <xf numFmtId="0" fontId="5" fillId="2" borderId="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0" xfId="0" applyFont="1" applyFill="1"/>
    <xf numFmtId="0" fontId="5" fillId="2" borderId="0" xfId="0" applyFont="1" applyFill="1" applyBorder="1"/>
    <xf numFmtId="0" fontId="7" fillId="2" borderId="0" xfId="0" applyFont="1" applyFill="1"/>
    <xf numFmtId="2" fontId="7" fillId="2" borderId="0" xfId="0" applyNumberFormat="1" applyFont="1" applyFill="1"/>
    <xf numFmtId="4" fontId="7" fillId="2" borderId="0" xfId="0" applyNumberFormat="1" applyFont="1" applyFill="1" applyBorder="1"/>
    <xf numFmtId="4" fontId="0" fillId="2" borderId="0" xfId="0" applyNumberFormat="1" applyFill="1"/>
    <xf numFmtId="4" fontId="0" fillId="2" borderId="0" xfId="0" applyNumberFormat="1" applyFill="1" applyBorder="1"/>
    <xf numFmtId="10" fontId="1" fillId="2" borderId="0" xfId="0" applyNumberFormat="1" applyFont="1" applyFill="1" applyBorder="1"/>
    <xf numFmtId="165" fontId="1" fillId="2" borderId="0" xfId="0" applyNumberFormat="1" applyFont="1" applyFill="1"/>
    <xf numFmtId="2" fontId="5" fillId="7" borderId="1" xfId="5" applyNumberFormat="1" applyFont="1" applyFill="1" applyBorder="1" applyAlignment="1">
      <alignment horizontal="center"/>
    </xf>
    <xf numFmtId="2" fontId="7" fillId="8" borderId="1" xfId="4" applyNumberFormat="1" applyFont="1" applyFill="1" applyBorder="1"/>
    <xf numFmtId="2" fontId="1" fillId="2" borderId="0" xfId="0" applyNumberFormat="1" applyFont="1" applyFill="1" applyBorder="1" applyAlignment="1">
      <alignment horizontal="center"/>
    </xf>
    <xf numFmtId="3" fontId="2" fillId="2" borderId="0" xfId="0" applyNumberFormat="1" applyFont="1" applyFill="1"/>
    <xf numFmtId="3" fontId="5" fillId="3" borderId="3" xfId="0" applyNumberFormat="1" applyFont="1" applyFill="1" applyBorder="1"/>
    <xf numFmtId="3" fontId="5" fillId="3" borderId="0" xfId="0" applyNumberFormat="1" applyFont="1" applyFill="1" applyBorder="1"/>
    <xf numFmtId="3" fontId="1" fillId="3" borderId="0" xfId="0" applyNumberFormat="1" applyFont="1" applyFill="1" applyBorder="1"/>
    <xf numFmtId="3" fontId="5" fillId="3" borderId="1" xfId="0" applyNumberFormat="1" applyFont="1" applyFill="1" applyBorder="1"/>
    <xf numFmtId="3" fontId="1" fillId="3" borderId="1" xfId="0" applyNumberFormat="1" applyFont="1" applyFill="1" applyBorder="1"/>
    <xf numFmtId="4" fontId="1" fillId="3" borderId="0" xfId="0" applyNumberFormat="1" applyFont="1" applyFill="1" applyBorder="1"/>
    <xf numFmtId="4" fontId="1" fillId="3" borderId="1" xfId="0" applyNumberFormat="1" applyFont="1" applyFill="1" applyBorder="1"/>
    <xf numFmtId="4" fontId="5" fillId="3" borderId="0" xfId="0" applyNumberFormat="1" applyFont="1" applyFill="1" applyBorder="1"/>
    <xf numFmtId="4" fontId="5" fillId="3" borderId="1" xfId="0" applyNumberFormat="1" applyFont="1" applyFill="1" applyBorder="1"/>
    <xf numFmtId="2" fontId="1" fillId="3" borderId="1" xfId="0" applyNumberFormat="1" applyFont="1" applyFill="1" applyBorder="1"/>
    <xf numFmtId="0" fontId="2" fillId="2" borderId="1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/>
    </xf>
    <xf numFmtId="2" fontId="7" fillId="7" borderId="1" xfId="4" applyNumberFormat="1" applyFont="1" applyFill="1" applyBorder="1" applyAlignment="1">
      <alignment horizontal="center"/>
    </xf>
    <xf numFmtId="4" fontId="1" fillId="3" borderId="2" xfId="0" applyNumberFormat="1" applyFont="1" applyFill="1" applyBorder="1"/>
    <xf numFmtId="0" fontId="1" fillId="2" borderId="0" xfId="0" applyFont="1" applyFill="1" applyAlignment="1">
      <alignment horizontal="right"/>
    </xf>
    <xf numFmtId="2" fontId="1" fillId="3" borderId="2" xfId="0" applyNumberFormat="1" applyFont="1" applyFill="1" applyBorder="1"/>
    <xf numFmtId="3" fontId="1" fillId="3" borderId="2" xfId="0" applyNumberFormat="1" applyFont="1" applyFill="1" applyBorder="1"/>
    <xf numFmtId="4" fontId="2" fillId="3" borderId="0" xfId="0" applyNumberFormat="1" applyFont="1" applyFill="1"/>
    <xf numFmtId="166" fontId="1" fillId="3" borderId="0" xfId="0" applyNumberFormat="1" applyFont="1" applyFill="1"/>
    <xf numFmtId="0" fontId="1" fillId="0" borderId="0" xfId="0" applyFont="1" applyAlignment="1">
      <alignment horizontal="center" wrapText="1"/>
    </xf>
    <xf numFmtId="10" fontId="1" fillId="3" borderId="6" xfId="0" applyNumberFormat="1" applyFont="1" applyFill="1" applyBorder="1"/>
    <xf numFmtId="2" fontId="1" fillId="6" borderId="2" xfId="0" applyNumberFormat="1" applyFont="1" applyFill="1" applyBorder="1" applyAlignment="1" applyProtection="1">
      <alignment horizontal="center"/>
      <protection locked="0"/>
    </xf>
    <xf numFmtId="2" fontId="1" fillId="6" borderId="0" xfId="0" applyNumberFormat="1" applyFont="1" applyFill="1" applyBorder="1" applyAlignment="1" applyProtection="1">
      <alignment horizontal="left"/>
      <protection locked="0"/>
    </xf>
    <xf numFmtId="0" fontId="5" fillId="2" borderId="0" xfId="3" applyFont="1" applyFill="1"/>
    <xf numFmtId="0" fontId="5" fillId="2" borderId="18" xfId="3" applyFont="1" applyFill="1" applyBorder="1" applyAlignment="1">
      <alignment horizontal="center"/>
    </xf>
    <xf numFmtId="0" fontId="5" fillId="2" borderId="19" xfId="3" applyFont="1" applyFill="1" applyBorder="1" applyAlignment="1">
      <alignment horizontal="center"/>
    </xf>
    <xf numFmtId="0" fontId="5" fillId="2" borderId="19" xfId="3" applyFont="1" applyFill="1" applyBorder="1" applyAlignment="1">
      <alignment horizontal="center" wrapText="1"/>
    </xf>
    <xf numFmtId="0" fontId="5" fillId="2" borderId="20" xfId="3" applyFont="1" applyFill="1" applyBorder="1" applyAlignment="1">
      <alignment horizontal="center" wrapText="1"/>
    </xf>
    <xf numFmtId="0" fontId="7" fillId="2" borderId="18" xfId="3" applyFont="1" applyFill="1" applyBorder="1"/>
    <xf numFmtId="0" fontId="7" fillId="2" borderId="19" xfId="3" applyFont="1" applyFill="1" applyBorder="1"/>
    <xf numFmtId="0" fontId="5" fillId="4" borderId="0" xfId="3" applyFont="1" applyFill="1"/>
    <xf numFmtId="0" fontId="7" fillId="2" borderId="0" xfId="3" applyFont="1" applyFill="1" applyAlignment="1">
      <alignment horizontal="centerContinuous"/>
    </xf>
    <xf numFmtId="0" fontId="1" fillId="2" borderId="11" xfId="3" applyFont="1" applyFill="1" applyBorder="1"/>
    <xf numFmtId="0" fontId="1" fillId="2" borderId="1" xfId="3" applyFont="1" applyFill="1" applyBorder="1" applyAlignment="1">
      <alignment horizontal="center"/>
    </xf>
    <xf numFmtId="0" fontId="1" fillId="2" borderId="1" xfId="3" applyFont="1" applyFill="1" applyBorder="1" applyAlignment="1">
      <alignment horizontal="center" wrapText="1"/>
    </xf>
    <xf numFmtId="0" fontId="1" fillId="2" borderId="12" xfId="3" applyFont="1" applyFill="1" applyBorder="1" applyAlignment="1">
      <alignment horizontal="center"/>
    </xf>
    <xf numFmtId="0" fontId="2" fillId="5" borderId="15" xfId="3" applyFont="1" applyFill="1" applyBorder="1" applyAlignment="1">
      <alignment wrapText="1"/>
    </xf>
    <xf numFmtId="0" fontId="2" fillId="5" borderId="16" xfId="3" applyFont="1" applyFill="1" applyBorder="1"/>
    <xf numFmtId="2" fontId="2" fillId="5" borderId="16" xfId="3" applyNumberFormat="1" applyFont="1" applyFill="1" applyBorder="1"/>
    <xf numFmtId="0" fontId="1" fillId="2" borderId="0" xfId="3" applyFont="1" applyFill="1"/>
    <xf numFmtId="2" fontId="1" fillId="2" borderId="0" xfId="3" applyNumberFormat="1" applyFont="1" applyFill="1"/>
    <xf numFmtId="44" fontId="1" fillId="2" borderId="0" xfId="1" applyFont="1" applyFill="1"/>
    <xf numFmtId="0" fontId="1" fillId="0" borderId="0" xfId="0" applyFont="1"/>
    <xf numFmtId="2" fontId="1" fillId="6" borderId="0" xfId="0" applyNumberFormat="1" applyFont="1" applyFill="1" applyBorder="1" applyAlignment="1" applyProtection="1">
      <protection locked="0"/>
    </xf>
    <xf numFmtId="2" fontId="1" fillId="6" borderId="0" xfId="0" applyNumberFormat="1" applyFont="1" applyFill="1" applyBorder="1" applyAlignment="1" applyProtection="1">
      <alignment horizontal="center"/>
      <protection locked="0"/>
    </xf>
    <xf numFmtId="4" fontId="1" fillId="6" borderId="0" xfId="0" applyNumberFormat="1" applyFont="1" applyFill="1" applyBorder="1" applyAlignment="1" applyProtection="1">
      <protection locked="0"/>
    </xf>
    <xf numFmtId="164" fontId="1" fillId="6" borderId="0" xfId="0" applyNumberFormat="1" applyFont="1" applyFill="1" applyBorder="1" applyAlignment="1" applyProtection="1">
      <protection locked="0"/>
    </xf>
    <xf numFmtId="2" fontId="1" fillId="6" borderId="21" xfId="0" applyNumberFormat="1" applyFont="1" applyFill="1" applyBorder="1" applyAlignment="1" applyProtection="1">
      <alignment horizontal="left"/>
      <protection locked="0"/>
    </xf>
    <xf numFmtId="2" fontId="7" fillId="7" borderId="5" xfId="4" applyNumberFormat="1" applyFont="1" applyFill="1" applyBorder="1" applyAlignment="1">
      <alignment horizontal="center"/>
    </xf>
    <xf numFmtId="2" fontId="7" fillId="7" borderId="24" xfId="4" applyNumberFormat="1" applyFont="1" applyFill="1" applyBorder="1" applyAlignment="1">
      <alignment horizontal="center"/>
    </xf>
    <xf numFmtId="2" fontId="5" fillId="7" borderId="5" xfId="4" applyNumberFormat="1" applyFont="1" applyFill="1" applyBorder="1" applyAlignment="1">
      <alignment horizontal="centerContinuous"/>
    </xf>
    <xf numFmtId="2" fontId="5" fillId="7" borderId="24" xfId="5" applyNumberFormat="1" applyFont="1" applyFill="1" applyBorder="1" applyAlignment="1">
      <alignment horizontal="center"/>
    </xf>
    <xf numFmtId="7" fontId="5" fillId="9" borderId="0" xfId="6" applyFont="1" applyFill="1" applyBorder="1" applyAlignment="1"/>
    <xf numFmtId="7" fontId="5" fillId="9" borderId="23" xfId="6" applyFont="1" applyFill="1" applyBorder="1"/>
    <xf numFmtId="2" fontId="7" fillId="8" borderId="5" xfId="4" applyNumberFormat="1" applyFont="1" applyFill="1" applyBorder="1" applyAlignment="1"/>
    <xf numFmtId="7" fontId="7" fillId="8" borderId="24" xfId="6" applyFont="1" applyFill="1" applyBorder="1"/>
    <xf numFmtId="0" fontId="5" fillId="2" borderId="0" xfId="0" applyFont="1" applyFill="1" applyBorder="1" applyAlignment="1"/>
    <xf numFmtId="0" fontId="11" fillId="4" borderId="0" xfId="0" applyFont="1" applyFill="1"/>
    <xf numFmtId="0" fontId="2" fillId="2" borderId="1" xfId="0" applyFont="1" applyFill="1" applyBorder="1" applyAlignment="1">
      <alignment horizontal="center"/>
    </xf>
    <xf numFmtId="0" fontId="5" fillId="5" borderId="0" xfId="0" applyFont="1" applyFill="1"/>
    <xf numFmtId="0" fontId="5" fillId="4" borderId="0" xfId="0" applyFont="1" applyFill="1"/>
    <xf numFmtId="0" fontId="0" fillId="5" borderId="0" xfId="0" applyFill="1"/>
    <xf numFmtId="0" fontId="1" fillId="2" borderId="0" xfId="0" applyFont="1" applyFill="1" applyBorder="1" applyAlignment="1">
      <alignment horizontal="center"/>
    </xf>
    <xf numFmtId="167" fontId="1" fillId="2" borderId="0" xfId="0" applyNumberFormat="1" applyFont="1" applyFill="1"/>
    <xf numFmtId="0" fontId="7" fillId="2" borderId="18" xfId="3" applyFont="1" applyFill="1" applyBorder="1" applyAlignment="1">
      <alignment wrapText="1"/>
    </xf>
    <xf numFmtId="0" fontId="5" fillId="3" borderId="0" xfId="3" applyFont="1" applyFill="1" applyAlignment="1">
      <alignment horizontal="center"/>
    </xf>
    <xf numFmtId="2" fontId="5" fillId="9" borderId="0" xfId="4" applyNumberFormat="1" applyFont="1" applyFill="1" applyBorder="1" applyAlignment="1">
      <alignment horizontal="left"/>
    </xf>
    <xf numFmtId="2" fontId="5" fillId="9" borderId="0" xfId="4" applyNumberFormat="1" applyFont="1" applyFill="1" applyBorder="1"/>
    <xf numFmtId="0" fontId="1" fillId="2" borderId="4" xfId="0" applyFont="1" applyFill="1" applyBorder="1" applyAlignment="1"/>
    <xf numFmtId="0" fontId="1" fillId="2" borderId="21" xfId="0" applyFont="1" applyFill="1" applyBorder="1" applyAlignment="1"/>
    <xf numFmtId="0" fontId="1" fillId="2" borderId="5" xfId="0" applyFont="1" applyFill="1" applyBorder="1" applyAlignment="1"/>
    <xf numFmtId="2" fontId="5" fillId="3" borderId="0" xfId="3" applyNumberFormat="1" applyFont="1" applyFill="1"/>
    <xf numFmtId="2" fontId="1" fillId="6" borderId="19" xfId="0" applyNumberFormat="1" applyFont="1" applyFill="1" applyBorder="1" applyAlignment="1" applyProtection="1">
      <alignment horizontal="center"/>
      <protection locked="0"/>
    </xf>
    <xf numFmtId="4" fontId="1" fillId="6" borderId="19" xfId="0" applyNumberFormat="1" applyFont="1" applyFill="1" applyBorder="1" applyAlignment="1" applyProtection="1">
      <protection locked="0"/>
    </xf>
    <xf numFmtId="164" fontId="1" fillId="6" borderId="19" xfId="0" applyNumberFormat="1" applyFont="1" applyFill="1" applyBorder="1" applyAlignment="1" applyProtection="1">
      <protection locked="0"/>
    </xf>
    <xf numFmtId="2" fontId="1" fillId="6" borderId="19" xfId="0" applyNumberFormat="1" applyFont="1" applyFill="1" applyBorder="1" applyAlignment="1" applyProtection="1">
      <protection locked="0"/>
    </xf>
    <xf numFmtId="3" fontId="1" fillId="2" borderId="1" xfId="0" applyNumberFormat="1" applyFont="1" applyFill="1" applyBorder="1" applyAlignment="1">
      <alignment horizontal="center"/>
    </xf>
    <xf numFmtId="3" fontId="1" fillId="4" borderId="0" xfId="0" applyNumberFormat="1" applyFont="1" applyFill="1"/>
    <xf numFmtId="3" fontId="5" fillId="2" borderId="1" xfId="0" applyNumberFormat="1" applyFont="1" applyFill="1" applyBorder="1" applyAlignment="1">
      <alignment horizontal="center" wrapText="1"/>
    </xf>
    <xf numFmtId="168" fontId="1" fillId="3" borderId="0" xfId="0" applyNumberFormat="1" applyFont="1" applyFill="1"/>
    <xf numFmtId="168" fontId="1" fillId="3" borderId="1" xfId="0" applyNumberFormat="1" applyFont="1" applyFill="1" applyBorder="1"/>
    <xf numFmtId="168" fontId="1" fillId="3" borderId="0" xfId="0" applyNumberFormat="1" applyFont="1" applyFill="1" applyBorder="1"/>
    <xf numFmtId="0" fontId="8" fillId="2" borderId="0" xfId="0" applyFont="1" applyFill="1"/>
    <xf numFmtId="3" fontId="1" fillId="2" borderId="1" xfId="0" applyNumberFormat="1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right"/>
    </xf>
    <xf numFmtId="0" fontId="1" fillId="3" borderId="0" xfId="0" applyFont="1" applyFill="1" applyBorder="1" applyAlignment="1">
      <alignment horizontal="right"/>
    </xf>
    <xf numFmtId="164" fontId="2" fillId="5" borderId="16" xfId="1" applyNumberFormat="1" applyFont="1" applyFill="1" applyBorder="1"/>
    <xf numFmtId="3" fontId="1" fillId="3" borderId="0" xfId="3" applyNumberFormat="1" applyFont="1" applyFill="1" applyBorder="1"/>
    <xf numFmtId="3" fontId="2" fillId="5" borderId="16" xfId="1" applyNumberFormat="1" applyFont="1" applyFill="1" applyBorder="1"/>
    <xf numFmtId="7" fontId="1" fillId="3" borderId="14" xfId="1" applyNumberFormat="1" applyFont="1" applyFill="1" applyBorder="1"/>
    <xf numFmtId="7" fontId="2" fillId="5" borderId="17" xfId="1" applyNumberFormat="1" applyFont="1" applyFill="1" applyBorder="1"/>
    <xf numFmtId="164" fontId="5" fillId="3" borderId="0" xfId="1" applyNumberFormat="1" applyFont="1" applyFill="1"/>
    <xf numFmtId="164" fontId="7" fillId="2" borderId="19" xfId="3" applyNumberFormat="1" applyFont="1" applyFill="1" applyBorder="1"/>
    <xf numFmtId="164" fontId="7" fillId="3" borderId="20" xfId="3" applyNumberFormat="1" applyFont="1" applyFill="1" applyBorder="1"/>
    <xf numFmtId="3" fontId="1" fillId="11" borderId="1" xfId="0" applyNumberFormat="1" applyFont="1" applyFill="1" applyBorder="1"/>
    <xf numFmtId="2" fontId="1" fillId="6" borderId="21" xfId="0" applyNumberFormat="1" applyFont="1" applyFill="1" applyBorder="1" applyAlignment="1" applyProtection="1">
      <alignment horizontal="left"/>
      <protection locked="0"/>
    </xf>
    <xf numFmtId="2" fontId="1" fillId="6" borderId="0" xfId="0" applyNumberFormat="1" applyFont="1" applyFill="1" applyBorder="1" applyAlignment="1" applyProtection="1">
      <alignment horizontal="left"/>
      <protection locked="0"/>
    </xf>
    <xf numFmtId="2" fontId="1" fillId="6" borderId="0" xfId="0" applyNumberFormat="1" applyFont="1" applyFill="1" applyBorder="1" applyAlignment="1" applyProtection="1">
      <alignment horizontal="center"/>
      <protection locked="0"/>
    </xf>
    <xf numFmtId="0" fontId="2" fillId="5" borderId="15" xfId="3" applyFont="1" applyFill="1" applyBorder="1" applyAlignment="1"/>
    <xf numFmtId="3" fontId="2" fillId="5" borderId="16" xfId="3" applyNumberFormat="1" applyFont="1" applyFill="1" applyBorder="1" applyAlignment="1">
      <alignment horizontal="left"/>
    </xf>
    <xf numFmtId="3" fontId="1" fillId="11" borderId="0" xfId="0" applyNumberFormat="1" applyFont="1" applyFill="1"/>
    <xf numFmtId="1" fontId="2" fillId="3" borderId="2" xfId="0" applyNumberFormat="1" applyFont="1" applyFill="1" applyBorder="1"/>
    <xf numFmtId="0" fontId="11" fillId="2" borderId="0" xfId="0" applyFont="1" applyFill="1"/>
    <xf numFmtId="1" fontId="1" fillId="3" borderId="3" xfId="0" applyNumberFormat="1" applyFont="1" applyFill="1" applyBorder="1"/>
    <xf numFmtId="1" fontId="1" fillId="3" borderId="0" xfId="0" applyNumberFormat="1" applyFont="1" applyFill="1" applyBorder="1"/>
    <xf numFmtId="1" fontId="1" fillId="3" borderId="1" xfId="0" applyNumberFormat="1" applyFont="1" applyFill="1" applyBorder="1"/>
    <xf numFmtId="0" fontId="1" fillId="11" borderId="0" xfId="0" applyFont="1" applyFill="1"/>
    <xf numFmtId="0" fontId="1" fillId="11" borderId="1" xfId="0" applyFont="1" applyFill="1" applyBorder="1"/>
    <xf numFmtId="0" fontId="1" fillId="2" borderId="0" xfId="0" applyFont="1" applyFill="1" applyProtection="1">
      <protection locked="0"/>
    </xf>
    <xf numFmtId="3" fontId="1" fillId="2" borderId="0" xfId="0" applyNumberFormat="1" applyFont="1" applyFill="1" applyProtection="1">
      <protection locked="0"/>
    </xf>
    <xf numFmtId="2" fontId="1" fillId="2" borderId="0" xfId="0" applyNumberFormat="1" applyFont="1" applyFill="1" applyProtection="1">
      <protection locked="0"/>
    </xf>
    <xf numFmtId="2" fontId="1" fillId="2" borderId="1" xfId="0" applyNumberFormat="1" applyFont="1" applyFill="1" applyBorder="1" applyProtection="1">
      <protection locked="0"/>
    </xf>
    <xf numFmtId="9" fontId="1" fillId="2" borderId="0" xfId="0" applyNumberFormat="1" applyFont="1" applyFill="1" applyProtection="1">
      <protection locked="0"/>
    </xf>
    <xf numFmtId="3" fontId="1" fillId="2" borderId="1" xfId="0" applyNumberFormat="1" applyFont="1" applyFill="1" applyBorder="1" applyProtection="1">
      <protection locked="0"/>
    </xf>
    <xf numFmtId="9" fontId="1" fillId="2" borderId="1" xfId="0" applyNumberFormat="1" applyFont="1" applyFill="1" applyBorder="1" applyProtection="1">
      <protection locked="0"/>
    </xf>
    <xf numFmtId="10" fontId="1" fillId="2" borderId="0" xfId="0" applyNumberFormat="1" applyFont="1" applyFill="1" applyProtection="1">
      <protection locked="0"/>
    </xf>
    <xf numFmtId="10" fontId="1" fillId="2" borderId="1" xfId="0" applyNumberFormat="1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3" fontId="5" fillId="2" borderId="3" xfId="0" applyNumberFormat="1" applyFont="1" applyFill="1" applyBorder="1" applyProtection="1">
      <protection locked="0"/>
    </xf>
    <xf numFmtId="2" fontId="5" fillId="2" borderId="3" xfId="0" applyNumberFormat="1" applyFont="1" applyFill="1" applyBorder="1" applyProtection="1">
      <protection locked="0"/>
    </xf>
    <xf numFmtId="0" fontId="5" fillId="2" borderId="0" xfId="0" applyFont="1" applyFill="1" applyBorder="1" applyProtection="1">
      <protection locked="0"/>
    </xf>
    <xf numFmtId="3" fontId="5" fillId="2" borderId="0" xfId="0" applyNumberFormat="1" applyFont="1" applyFill="1" applyBorder="1" applyProtection="1">
      <protection locked="0"/>
    </xf>
    <xf numFmtId="2" fontId="5" fillId="2" borderId="0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3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3" fontId="1" fillId="2" borderId="3" xfId="0" applyNumberFormat="1" applyFont="1" applyFill="1" applyBorder="1" applyProtection="1">
      <protection locked="0"/>
    </xf>
    <xf numFmtId="9" fontId="5" fillId="2" borderId="3" xfId="0" applyNumberFormat="1" applyFont="1" applyFill="1" applyBorder="1" applyProtection="1">
      <protection locked="0"/>
    </xf>
    <xf numFmtId="3" fontId="1" fillId="2" borderId="0" xfId="0" applyNumberFormat="1" applyFont="1" applyFill="1" applyBorder="1" applyProtection="1">
      <protection locked="0"/>
    </xf>
    <xf numFmtId="9" fontId="5" fillId="2" borderId="0" xfId="0" applyNumberFormat="1" applyFont="1" applyFill="1" applyBorder="1" applyProtection="1">
      <protection locked="0"/>
    </xf>
    <xf numFmtId="9" fontId="5" fillId="2" borderId="1" xfId="0" applyNumberFormat="1" applyFont="1" applyFill="1" applyBorder="1" applyProtection="1">
      <protection locked="0"/>
    </xf>
    <xf numFmtId="10" fontId="1" fillId="2" borderId="0" xfId="0" applyNumberFormat="1" applyFont="1" applyFill="1" applyBorder="1" applyProtection="1">
      <protection locked="0"/>
    </xf>
    <xf numFmtId="3" fontId="1" fillId="2" borderId="2" xfId="0" applyNumberFormat="1" applyFont="1" applyFill="1" applyBorder="1" applyProtection="1">
      <protection locked="0"/>
    </xf>
    <xf numFmtId="10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4" fontId="1" fillId="2" borderId="0" xfId="0" applyNumberFormat="1" applyFont="1" applyFill="1" applyProtection="1">
      <protection locked="0"/>
    </xf>
    <xf numFmtId="166" fontId="1" fillId="2" borderId="0" xfId="0" applyNumberFormat="1" applyFont="1" applyFill="1" applyProtection="1">
      <protection locked="0"/>
    </xf>
    <xf numFmtId="0" fontId="14" fillId="10" borderId="13" xfId="8" applyFont="1" applyFill="1" applyBorder="1" applyProtection="1">
      <protection locked="0"/>
    </xf>
    <xf numFmtId="0" fontId="14" fillId="10" borderId="0" xfId="8" applyFont="1" applyFill="1" applyBorder="1" applyProtection="1">
      <protection locked="0"/>
    </xf>
    <xf numFmtId="164" fontId="14" fillId="10" borderId="0" xfId="1" applyNumberFormat="1" applyFont="1" applyFill="1" applyBorder="1" applyAlignment="1" applyProtection="1">
      <protection locked="0"/>
    </xf>
    <xf numFmtId="3" fontId="14" fillId="10" borderId="0" xfId="8" applyNumberFormat="1" applyFont="1" applyFill="1" applyBorder="1" applyProtection="1">
      <protection locked="0"/>
    </xf>
    <xf numFmtId="2" fontId="14" fillId="10" borderId="0" xfId="8" applyNumberFormat="1" applyFont="1" applyFill="1" applyBorder="1" applyProtection="1">
      <protection locked="0"/>
    </xf>
    <xf numFmtId="0" fontId="1" fillId="2" borderId="13" xfId="3" applyFont="1" applyFill="1" applyBorder="1" applyProtection="1">
      <protection locked="0"/>
    </xf>
    <xf numFmtId="0" fontId="1" fillId="2" borderId="0" xfId="3" applyFont="1" applyFill="1" applyBorder="1" applyProtection="1">
      <protection locked="0"/>
    </xf>
    <xf numFmtId="164" fontId="1" fillId="2" borderId="0" xfId="1" applyNumberFormat="1" applyFont="1" applyFill="1" applyBorder="1" applyProtection="1">
      <protection locked="0"/>
    </xf>
    <xf numFmtId="3" fontId="1" fillId="2" borderId="0" xfId="3" applyNumberFormat="1" applyFont="1" applyFill="1" applyBorder="1" applyProtection="1">
      <protection locked="0"/>
    </xf>
    <xf numFmtId="2" fontId="1" fillId="2" borderId="0" xfId="3" applyNumberFormat="1" applyFont="1" applyFill="1" applyBorder="1" applyProtection="1">
      <protection locked="0"/>
    </xf>
    <xf numFmtId="4" fontId="14" fillId="10" borderId="0" xfId="1" applyNumberFormat="1" applyFont="1" applyFill="1" applyBorder="1" applyAlignment="1" applyProtection="1">
      <protection locked="0"/>
    </xf>
    <xf numFmtId="4" fontId="1" fillId="2" borderId="0" xfId="1" applyNumberFormat="1" applyFont="1" applyFill="1" applyBorder="1" applyProtection="1">
      <protection locked="0"/>
    </xf>
    <xf numFmtId="0" fontId="5" fillId="2" borderId="0" xfId="3" applyFont="1" applyFill="1" applyProtection="1">
      <protection locked="0"/>
    </xf>
    <xf numFmtId="2" fontId="5" fillId="2" borderId="0" xfId="3" applyNumberFormat="1" applyFont="1" applyFill="1" applyProtection="1">
      <protection locked="0"/>
    </xf>
    <xf numFmtId="164" fontId="5" fillId="2" borderId="0" xfId="1" applyNumberFormat="1" applyFont="1" applyFill="1" applyProtection="1">
      <protection locked="0"/>
    </xf>
    <xf numFmtId="7" fontId="5" fillId="2" borderId="0" xfId="1" applyNumberFormat="1" applyFont="1" applyFill="1" applyProtection="1">
      <protection locked="0"/>
    </xf>
    <xf numFmtId="4" fontId="1" fillId="9" borderId="0" xfId="0" applyNumberFormat="1" applyFont="1" applyFill="1" applyBorder="1" applyAlignment="1" applyProtection="1"/>
    <xf numFmtId="164" fontId="5" fillId="9" borderId="20" xfId="0" applyNumberFormat="1" applyFont="1" applyFill="1" applyBorder="1" applyAlignment="1" applyProtection="1"/>
    <xf numFmtId="2" fontId="5" fillId="9" borderId="23" xfId="0" applyNumberFormat="1" applyFont="1" applyFill="1" applyBorder="1" applyAlignment="1" applyProtection="1"/>
    <xf numFmtId="164" fontId="5" fillId="9" borderId="23" xfId="0" applyNumberFormat="1" applyFont="1" applyFill="1" applyBorder="1" applyAlignment="1" applyProtection="1"/>
    <xf numFmtId="2" fontId="7" fillId="9" borderId="20" xfId="0" applyNumberFormat="1" applyFont="1" applyFill="1" applyBorder="1" applyAlignment="1" applyProtection="1"/>
    <xf numFmtId="0" fontId="1" fillId="3" borderId="2" xfId="0" applyFont="1" applyFill="1" applyBorder="1" applyAlignment="1" applyProtection="1">
      <alignment horizontal="center"/>
    </xf>
    <xf numFmtId="0" fontId="1" fillId="3" borderId="2" xfId="0" applyFont="1" applyFill="1" applyBorder="1" applyAlignment="1" applyProtection="1">
      <alignment horizontal="centerContinuous"/>
    </xf>
    <xf numFmtId="2" fontId="1" fillId="9" borderId="2" xfId="0" applyNumberFormat="1" applyFont="1" applyFill="1" applyBorder="1" applyAlignment="1" applyProtection="1">
      <alignment horizontal="center"/>
    </xf>
    <xf numFmtId="164" fontId="1" fillId="9" borderId="20" xfId="0" applyNumberFormat="1" applyFont="1" applyFill="1" applyBorder="1" applyAlignment="1" applyProtection="1"/>
    <xf numFmtId="2" fontId="1" fillId="9" borderId="23" xfId="0" applyNumberFormat="1" applyFont="1" applyFill="1" applyBorder="1" applyAlignment="1" applyProtection="1"/>
    <xf numFmtId="164" fontId="1" fillId="9" borderId="23" xfId="0" applyNumberFormat="1" applyFont="1" applyFill="1" applyBorder="1" applyAlignment="1" applyProtection="1"/>
    <xf numFmtId="2" fontId="2" fillId="9" borderId="20" xfId="0" applyNumberFormat="1" applyFont="1" applyFill="1" applyBorder="1" applyAlignment="1" applyProtection="1"/>
    <xf numFmtId="2" fontId="2" fillId="6" borderId="19" xfId="0" applyNumberFormat="1" applyFont="1" applyFill="1" applyBorder="1" applyAlignment="1" applyProtection="1"/>
    <xf numFmtId="2" fontId="2" fillId="6" borderId="18" xfId="0" applyNumberFormat="1" applyFont="1" applyFill="1" applyBorder="1" applyAlignment="1" applyProtection="1"/>
    <xf numFmtId="0" fontId="2" fillId="0" borderId="4" xfId="0" applyFont="1" applyBorder="1" applyAlignment="1" applyProtection="1">
      <alignment horizontal="centerContinuous"/>
    </xf>
    <xf numFmtId="0" fontId="1" fillId="2" borderId="3" xfId="0" applyFont="1" applyFill="1" applyBorder="1" applyAlignment="1" applyProtection="1">
      <alignment horizontal="centerContinuous"/>
    </xf>
    <xf numFmtId="2" fontId="1" fillId="6" borderId="21" xfId="0" applyNumberFormat="1" applyFont="1" applyFill="1" applyBorder="1" applyAlignment="1" applyProtection="1"/>
    <xf numFmtId="2" fontId="1" fillId="6" borderId="0" xfId="0" applyNumberFormat="1" applyFont="1" applyFill="1" applyBorder="1" applyAlignment="1" applyProtection="1"/>
    <xf numFmtId="2" fontId="1" fillId="6" borderId="2" xfId="0" applyNumberFormat="1" applyFont="1" applyFill="1" applyBorder="1" applyAlignment="1" applyProtection="1">
      <alignment horizontal="center"/>
    </xf>
    <xf numFmtId="0" fontId="1" fillId="2" borderId="22" xfId="0" applyFont="1" applyFill="1" applyBorder="1" applyAlignment="1" applyProtection="1">
      <alignment horizontal="centerContinuous"/>
    </xf>
    <xf numFmtId="2" fontId="1" fillId="6" borderId="23" xfId="0" applyNumberFormat="1" applyFont="1" applyFill="1" applyBorder="1" applyAlignment="1" applyProtection="1"/>
    <xf numFmtId="2" fontId="2" fillId="6" borderId="3" xfId="0" applyNumberFormat="1" applyFont="1" applyFill="1" applyBorder="1" applyAlignment="1" applyProtection="1">
      <alignment horizontal="centerContinuous"/>
    </xf>
    <xf numFmtId="2" fontId="2" fillId="6" borderId="22" xfId="0" applyNumberFormat="1" applyFont="1" applyFill="1" applyBorder="1" applyAlignment="1" applyProtection="1">
      <alignment horizontal="centerContinuous"/>
    </xf>
    <xf numFmtId="2" fontId="2" fillId="6" borderId="0" xfId="0" applyNumberFormat="1" applyFont="1" applyFill="1" applyBorder="1" applyAlignment="1" applyProtection="1">
      <alignment horizontal="centerContinuous"/>
    </xf>
    <xf numFmtId="2" fontId="2" fillId="6" borderId="23" xfId="0" applyNumberFormat="1" applyFont="1" applyFill="1" applyBorder="1" applyAlignment="1" applyProtection="1">
      <alignment horizontal="centerContinuous"/>
    </xf>
    <xf numFmtId="2" fontId="1" fillId="6" borderId="6" xfId="0" applyNumberFormat="1" applyFont="1" applyFill="1" applyBorder="1" applyAlignment="1" applyProtection="1">
      <alignment horizontal="center"/>
    </xf>
    <xf numFmtId="0" fontId="1" fillId="5" borderId="0" xfId="0" applyFont="1" applyFill="1" applyProtection="1"/>
    <xf numFmtId="0" fontId="1" fillId="2" borderId="0" xfId="0" applyFont="1" applyFill="1" applyProtection="1"/>
    <xf numFmtId="0" fontId="0" fillId="2" borderId="0" xfId="0" applyFill="1" applyProtection="1"/>
    <xf numFmtId="0" fontId="2" fillId="2" borderId="21" xfId="0" applyFont="1" applyFill="1" applyBorder="1" applyAlignment="1" applyProtection="1">
      <alignment horizontal="centerContinuous"/>
    </xf>
    <xf numFmtId="2" fontId="1" fillId="6" borderId="0" xfId="0" applyNumberFormat="1" applyFont="1" applyFill="1" applyBorder="1" applyAlignment="1" applyProtection="1">
      <alignment horizontal="center"/>
    </xf>
    <xf numFmtId="4" fontId="1" fillId="6" borderId="0" xfId="0" applyNumberFormat="1" applyFont="1" applyFill="1" applyBorder="1" applyAlignment="1" applyProtection="1"/>
    <xf numFmtId="0" fontId="2" fillId="2" borderId="4" xfId="0" applyFont="1" applyFill="1" applyBorder="1" applyAlignment="1" applyProtection="1">
      <alignment horizontal="centerContinuous"/>
    </xf>
    <xf numFmtId="0" fontId="1" fillId="0" borderId="2" xfId="0" applyFont="1" applyBorder="1" applyAlignment="1" applyProtection="1">
      <alignment horizontal="center"/>
      <protection locked="0"/>
    </xf>
    <xf numFmtId="2" fontId="5" fillId="7" borderId="4" xfId="4" applyNumberFormat="1" applyFont="1" applyFill="1" applyBorder="1" applyAlignment="1" applyProtection="1">
      <protection locked="0"/>
    </xf>
    <xf numFmtId="2" fontId="5" fillId="7" borderId="21" xfId="4" applyNumberFormat="1" applyFont="1" applyFill="1" applyBorder="1" applyAlignment="1" applyProtection="1">
      <protection locked="0"/>
    </xf>
    <xf numFmtId="2" fontId="5" fillId="7" borderId="21" xfId="4" applyNumberFormat="1" applyFont="1" applyFill="1" applyBorder="1" applyAlignment="1" applyProtection="1">
      <alignment horizontal="left"/>
      <protection locked="0"/>
    </xf>
    <xf numFmtId="10" fontId="5" fillId="7" borderId="0" xfId="7" applyFont="1" applyFill="1" applyBorder="1" applyProtection="1">
      <protection locked="0"/>
    </xf>
    <xf numFmtId="2" fontId="5" fillId="7" borderId="0" xfId="4" applyNumberFormat="1" applyFont="1" applyFill="1" applyBorder="1" applyProtection="1">
      <protection locked="0"/>
    </xf>
    <xf numFmtId="2" fontId="5" fillId="7" borderId="0" xfId="4" applyNumberFormat="1" applyFont="1" applyFill="1" applyBorder="1" applyAlignment="1" applyProtection="1">
      <protection locked="0"/>
    </xf>
    <xf numFmtId="10" fontId="1" fillId="0" borderId="6" xfId="0" applyNumberFormat="1" applyFont="1" applyBorder="1" applyProtection="1">
      <protection locked="0"/>
    </xf>
    <xf numFmtId="10" fontId="1" fillId="0" borderId="2" xfId="0" applyNumberFormat="1" applyFont="1" applyBorder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2" fontId="1" fillId="0" borderId="2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center" wrapText="1"/>
    </xf>
    <xf numFmtId="0" fontId="5" fillId="2" borderId="1" xfId="0" applyFont="1" applyFill="1" applyBorder="1" applyAlignment="1" applyProtection="1">
      <alignment horizontal="center" wrapText="1"/>
    </xf>
    <xf numFmtId="0" fontId="1" fillId="2" borderId="1" xfId="0" applyFont="1" applyFill="1" applyBorder="1" applyAlignment="1" applyProtection="1">
      <alignment horizontal="center"/>
    </xf>
    <xf numFmtId="3" fontId="1" fillId="3" borderId="2" xfId="0" applyNumberFormat="1" applyFont="1" applyFill="1" applyBorder="1" applyAlignment="1" applyProtection="1"/>
    <xf numFmtId="9" fontId="1" fillId="2" borderId="0" xfId="2" applyFont="1" applyFill="1" applyBorder="1" applyProtection="1"/>
    <xf numFmtId="4" fontId="1" fillId="3" borderId="1" xfId="0" applyNumberFormat="1" applyFont="1" applyFill="1" applyBorder="1" applyAlignment="1" applyProtection="1"/>
    <xf numFmtId="0" fontId="5" fillId="2" borderId="0" xfId="0" applyFont="1" applyFill="1" applyBorder="1" applyAlignment="1" applyProtection="1">
      <alignment horizontal="center" wrapText="1"/>
    </xf>
    <xf numFmtId="0" fontId="1" fillId="2" borderId="20" xfId="0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Protection="1"/>
    <xf numFmtId="0" fontId="1" fillId="2" borderId="21" xfId="0" applyFont="1" applyFill="1" applyBorder="1" applyAlignment="1">
      <alignment horizontal="left"/>
    </xf>
    <xf numFmtId="0" fontId="1" fillId="2" borderId="21" xfId="0" applyFont="1" applyFill="1" applyBorder="1"/>
    <xf numFmtId="0" fontId="1" fillId="2" borderId="5" xfId="0" applyFont="1" applyFill="1" applyBorder="1"/>
    <xf numFmtId="0" fontId="1" fillId="2" borderId="24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3" fontId="1" fillId="2" borderId="23" xfId="0" applyNumberFormat="1" applyFont="1" applyFill="1" applyBorder="1"/>
    <xf numFmtId="0" fontId="2" fillId="2" borderId="21" xfId="0" applyFont="1" applyFill="1" applyBorder="1"/>
    <xf numFmtId="2" fontId="1" fillId="2" borderId="0" xfId="0" applyNumberFormat="1" applyFont="1" applyFill="1" applyBorder="1"/>
    <xf numFmtId="4" fontId="2" fillId="2" borderId="0" xfId="0" applyNumberFormat="1" applyFont="1" applyFill="1" applyBorder="1"/>
    <xf numFmtId="3" fontId="2" fillId="2" borderId="23" xfId="0" applyNumberFormat="1" applyFont="1" applyFill="1" applyBorder="1"/>
    <xf numFmtId="0" fontId="1" fillId="2" borderId="21" xfId="0" applyFont="1" applyFill="1" applyBorder="1" applyAlignment="1">
      <alignment horizontal="center"/>
    </xf>
    <xf numFmtId="166" fontId="1" fillId="2" borderId="0" xfId="0" applyNumberFormat="1" applyFont="1" applyFill="1" applyBorder="1"/>
    <xf numFmtId="0" fontId="2" fillId="2" borderId="0" xfId="0" applyFont="1" applyFill="1" applyBorder="1" applyAlignment="1">
      <alignment horizontal="center"/>
    </xf>
    <xf numFmtId="0" fontId="1" fillId="2" borderId="21" xfId="0" applyFont="1" applyFill="1" applyBorder="1" applyAlignment="1">
      <alignment wrapText="1"/>
    </xf>
    <xf numFmtId="0" fontId="2" fillId="2" borderId="5" xfId="0" applyFont="1" applyFill="1" applyBorder="1"/>
    <xf numFmtId="0" fontId="2" fillId="2" borderId="1" xfId="0" applyFont="1" applyFill="1" applyBorder="1"/>
    <xf numFmtId="4" fontId="2" fillId="2" borderId="1" xfId="0" applyNumberFormat="1" applyFont="1" applyFill="1" applyBorder="1"/>
    <xf numFmtId="3" fontId="2" fillId="2" borderId="24" xfId="0" applyNumberFormat="1" applyFont="1" applyFill="1" applyBorder="1"/>
    <xf numFmtId="4" fontId="1" fillId="3" borderId="2" xfId="0" applyNumberFormat="1" applyFont="1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center"/>
    </xf>
    <xf numFmtId="4" fontId="1" fillId="3" borderId="2" xfId="0" applyNumberFormat="1" applyFont="1" applyFill="1" applyBorder="1" applyAlignment="1"/>
    <xf numFmtId="4" fontId="1" fillId="3" borderId="7" xfId="0" applyNumberFormat="1" applyFont="1" applyFill="1" applyBorder="1" applyAlignment="1"/>
    <xf numFmtId="4" fontId="1" fillId="2" borderId="7" xfId="0" applyNumberFormat="1" applyFont="1" applyFill="1" applyBorder="1" applyAlignment="1"/>
    <xf numFmtId="4" fontId="1" fillId="2" borderId="2" xfId="0" applyNumberFormat="1" applyFont="1" applyFill="1" applyBorder="1" applyAlignment="1"/>
    <xf numFmtId="4" fontId="16" fillId="2" borderId="0" xfId="0" applyNumberFormat="1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right"/>
    </xf>
    <xf numFmtId="0" fontId="0" fillId="2" borderId="0" xfId="0" applyFont="1" applyFill="1"/>
    <xf numFmtId="4" fontId="16" fillId="2" borderId="0" xfId="0" applyNumberFormat="1" applyFont="1" applyFill="1" applyBorder="1" applyAlignment="1">
      <alignment horizontal="right"/>
    </xf>
    <xf numFmtId="0" fontId="16" fillId="2" borderId="0" xfId="0" applyFont="1" applyFill="1" applyBorder="1"/>
    <xf numFmtId="4" fontId="16" fillId="2" borderId="0" xfId="0" applyNumberFormat="1" applyFont="1" applyFill="1" applyBorder="1" applyAlignment="1">
      <alignment horizontal="left"/>
    </xf>
    <xf numFmtId="0" fontId="1" fillId="2" borderId="0" xfId="0" applyFont="1" applyFill="1" applyBorder="1" applyProtection="1">
      <protection locked="0"/>
    </xf>
    <xf numFmtId="0" fontId="1" fillId="2" borderId="0" xfId="0" applyFont="1" applyFill="1" applyBorder="1" applyProtection="1"/>
    <xf numFmtId="0" fontId="18" fillId="2" borderId="0" xfId="9" applyFont="1" applyFill="1" applyBorder="1" applyProtection="1">
      <protection locked="0"/>
    </xf>
    <xf numFmtId="0" fontId="18" fillId="2" borderId="0" xfId="9" applyFont="1" applyFill="1" applyBorder="1" applyProtection="1"/>
    <xf numFmtId="0" fontId="18" fillId="2" borderId="0" xfId="9" applyFont="1" applyFill="1" applyProtection="1">
      <protection locked="0"/>
    </xf>
    <xf numFmtId="0" fontId="18" fillId="2" borderId="0" xfId="9" applyFont="1" applyFill="1" applyProtection="1"/>
    <xf numFmtId="0" fontId="19" fillId="2" borderId="0" xfId="9" applyFont="1" applyFill="1" applyProtection="1">
      <protection locked="0"/>
    </xf>
    <xf numFmtId="0" fontId="1" fillId="2" borderId="0" xfId="0" applyFont="1" applyFill="1"/>
    <xf numFmtId="10" fontId="1" fillId="2" borderId="6" xfId="0" applyNumberFormat="1" applyFont="1" applyFill="1" applyBorder="1" applyProtection="1">
      <protection locked="0"/>
    </xf>
    <xf numFmtId="10" fontId="1" fillId="2" borderId="18" xfId="0" applyNumberFormat="1" applyFont="1" applyFill="1" applyBorder="1" applyProtection="1">
      <protection locked="0"/>
    </xf>
    <xf numFmtId="0" fontId="17" fillId="2" borderId="0" xfId="9" applyFill="1" applyProtection="1">
      <protection locked="0"/>
    </xf>
    <xf numFmtId="0" fontId="19" fillId="2" borderId="0" xfId="9" applyFont="1" applyFill="1" applyBorder="1" applyProtection="1">
      <protection locked="0"/>
    </xf>
    <xf numFmtId="0" fontId="1" fillId="2" borderId="0" xfId="0" applyFont="1" applyFill="1"/>
    <xf numFmtId="169" fontId="1" fillId="2" borderId="0" xfId="0" applyNumberFormat="1" applyFont="1" applyFill="1" applyProtection="1">
      <protection locked="0"/>
    </xf>
    <xf numFmtId="169" fontId="1" fillId="2" borderId="1" xfId="0" applyNumberFormat="1" applyFont="1" applyFill="1" applyBorder="1" applyProtection="1">
      <protection locked="0"/>
    </xf>
    <xf numFmtId="169" fontId="1" fillId="2" borderId="0" xfId="0" applyNumberFormat="1" applyFont="1" applyFill="1" applyBorder="1" applyProtection="1">
      <protection locked="0"/>
    </xf>
    <xf numFmtId="0" fontId="1" fillId="2" borderId="0" xfId="0" applyFont="1" applyFill="1" applyProtection="1"/>
    <xf numFmtId="0" fontId="1" fillId="2" borderId="0" xfId="0" applyFont="1" applyFill="1"/>
    <xf numFmtId="4" fontId="1" fillId="3" borderId="2" xfId="0" applyNumberFormat="1" applyFont="1" applyFill="1" applyBorder="1" applyProtection="1"/>
    <xf numFmtId="3" fontId="1" fillId="2" borderId="2" xfId="0" applyNumberFormat="1" applyFont="1" applyFill="1" applyBorder="1" applyAlignment="1" applyProtection="1">
      <alignment horizontal="right"/>
      <protection locked="0"/>
    </xf>
    <xf numFmtId="10" fontId="1" fillId="3" borderId="2" xfId="0" applyNumberFormat="1" applyFont="1" applyFill="1" applyBorder="1" applyProtection="1">
      <protection locked="0"/>
    </xf>
    <xf numFmtId="0" fontId="0" fillId="3" borderId="0" xfId="0" applyFill="1"/>
    <xf numFmtId="169" fontId="1" fillId="3" borderId="2" xfId="0" applyNumberFormat="1" applyFont="1" applyFill="1" applyBorder="1" applyAlignment="1"/>
    <xf numFmtId="0" fontId="1" fillId="2" borderId="0" xfId="0" applyFont="1" applyFill="1"/>
    <xf numFmtId="0" fontId="1" fillId="3" borderId="21" xfId="0" applyFont="1" applyFill="1" applyBorder="1" applyAlignment="1">
      <alignment horizontal="left"/>
    </xf>
    <xf numFmtId="0" fontId="1" fillId="3" borderId="23" xfId="0" applyFont="1" applyFill="1" applyBorder="1" applyAlignment="1">
      <alignment horizontal="right"/>
    </xf>
    <xf numFmtId="0" fontId="1" fillId="3" borderId="21" xfId="0" applyFont="1" applyFill="1" applyBorder="1" applyAlignment="1"/>
    <xf numFmtId="0" fontId="1" fillId="3" borderId="23" xfId="0" applyFont="1" applyFill="1" applyBorder="1" applyAlignment="1"/>
    <xf numFmtId="3" fontId="1" fillId="2" borderId="0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right"/>
    </xf>
    <xf numFmtId="4" fontId="1" fillId="2" borderId="2" xfId="0" applyNumberFormat="1" applyFont="1" applyFill="1" applyBorder="1" applyProtection="1"/>
    <xf numFmtId="169" fontId="1" fillId="2" borderId="2" xfId="0" applyNumberFormat="1" applyFont="1" applyFill="1" applyBorder="1" applyAlignment="1"/>
    <xf numFmtId="0" fontId="1" fillId="2" borderId="23" xfId="0" applyFont="1" applyFill="1" applyBorder="1" applyAlignment="1">
      <alignment horizontal="right"/>
    </xf>
    <xf numFmtId="0" fontId="1" fillId="2" borderId="23" xfId="0" applyFont="1" applyFill="1" applyBorder="1" applyAlignment="1"/>
    <xf numFmtId="0" fontId="1" fillId="2" borderId="4" xfId="0" applyFont="1" applyFill="1" applyBorder="1"/>
    <xf numFmtId="0" fontId="0" fillId="2" borderId="23" xfId="0" applyFill="1" applyBorder="1"/>
    <xf numFmtId="4" fontId="1" fillId="2" borderId="0" xfId="0" applyNumberFormat="1" applyFont="1" applyFill="1" applyBorder="1" applyProtection="1">
      <protection locked="0"/>
    </xf>
    <xf numFmtId="166" fontId="1" fillId="2" borderId="0" xfId="0" applyNumberFormat="1" applyFont="1" applyFill="1" applyBorder="1" applyProtection="1">
      <protection locked="0"/>
    </xf>
    <xf numFmtId="4" fontId="2" fillId="2" borderId="23" xfId="0" applyNumberFormat="1" applyFont="1" applyFill="1" applyBorder="1"/>
    <xf numFmtId="0" fontId="3" fillId="2" borderId="1" xfId="0" applyFont="1" applyFill="1" applyBorder="1" applyAlignment="1" applyProtection="1">
      <alignment horizontal="left"/>
      <protection locked="0"/>
    </xf>
    <xf numFmtId="0" fontId="1" fillId="2" borderId="21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23" xfId="0" applyFont="1" applyFill="1" applyBorder="1" applyAlignment="1">
      <alignment horizontal="left"/>
    </xf>
    <xf numFmtId="0" fontId="1" fillId="2" borderId="0" xfId="0" applyFont="1" applyFill="1" applyProtection="1"/>
    <xf numFmtId="0" fontId="18" fillId="2" borderId="0" xfId="9" applyFont="1" applyFill="1" applyProtection="1">
      <protection locked="0"/>
    </xf>
    <xf numFmtId="0" fontId="18" fillId="2" borderId="0" xfId="9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0" fontId="1" fillId="2" borderId="0" xfId="0" applyFont="1" applyFill="1"/>
    <xf numFmtId="0" fontId="19" fillId="2" borderId="0" xfId="9" applyFont="1" applyFill="1" applyProtection="1">
      <protection locked="0"/>
    </xf>
    <xf numFmtId="0" fontId="1" fillId="3" borderId="21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2" fillId="2" borderId="8" xfId="3" applyFont="1" applyFill="1" applyBorder="1" applyAlignment="1">
      <alignment horizontal="center"/>
    </xf>
    <xf numFmtId="0" fontId="2" fillId="2" borderId="9" xfId="3" applyFont="1" applyFill="1" applyBorder="1" applyAlignment="1">
      <alignment horizontal="center"/>
    </xf>
    <xf numFmtId="0" fontId="2" fillId="2" borderId="10" xfId="3" applyFont="1" applyFill="1" applyBorder="1" applyAlignment="1">
      <alignment horizontal="center"/>
    </xf>
    <xf numFmtId="0" fontId="7" fillId="2" borderId="0" xfId="3" applyFont="1" applyFill="1" applyAlignment="1">
      <alignment horizontal="center"/>
    </xf>
    <xf numFmtId="2" fontId="2" fillId="6" borderId="18" xfId="0" applyNumberFormat="1" applyFont="1" applyFill="1" applyBorder="1" applyAlignment="1" applyProtection="1">
      <alignment horizontal="left"/>
    </xf>
    <xf numFmtId="2" fontId="2" fillId="6" borderId="19" xfId="0" applyNumberFormat="1" applyFont="1" applyFill="1" applyBorder="1" applyAlignment="1" applyProtection="1">
      <alignment horizontal="left"/>
    </xf>
    <xf numFmtId="2" fontId="1" fillId="6" borderId="21" xfId="0" applyNumberFormat="1" applyFont="1" applyFill="1" applyBorder="1" applyAlignment="1" applyProtection="1">
      <alignment horizontal="left"/>
      <protection locked="0"/>
    </xf>
    <xf numFmtId="2" fontId="1" fillId="6" borderId="0" xfId="0" applyNumberFormat="1" applyFont="1" applyFill="1" applyBorder="1" applyAlignment="1" applyProtection="1">
      <alignment horizontal="left"/>
      <protection locked="0"/>
    </xf>
    <xf numFmtId="2" fontId="1" fillId="9" borderId="19" xfId="0" applyNumberFormat="1" applyFont="1" applyFill="1" applyBorder="1" applyAlignment="1" applyProtection="1">
      <alignment horizontal="center"/>
    </xf>
    <xf numFmtId="2" fontId="1" fillId="6" borderId="2" xfId="0" applyNumberFormat="1" applyFont="1" applyFill="1" applyBorder="1" applyAlignment="1" applyProtection="1">
      <alignment horizontal="center"/>
    </xf>
    <xf numFmtId="2" fontId="1" fillId="6" borderId="6" xfId="0" applyNumberFormat="1" applyFont="1" applyFill="1" applyBorder="1" applyAlignment="1" applyProtection="1">
      <alignment horizontal="center"/>
    </xf>
    <xf numFmtId="2" fontId="1" fillId="6" borderId="18" xfId="0" applyNumberFormat="1" applyFont="1" applyFill="1" applyBorder="1" applyAlignment="1" applyProtection="1">
      <alignment horizontal="left"/>
    </xf>
    <xf numFmtId="2" fontId="1" fillId="6" borderId="19" xfId="0" applyNumberFormat="1" applyFont="1" applyFill="1" applyBorder="1" applyAlignment="1" applyProtection="1">
      <alignment horizontal="left"/>
    </xf>
    <xf numFmtId="2" fontId="1" fillId="6" borderId="21" xfId="0" applyNumberFormat="1" applyFont="1" applyFill="1" applyBorder="1" applyAlignment="1" applyProtection="1">
      <alignment horizontal="center"/>
    </xf>
    <xf numFmtId="2" fontId="1" fillId="6" borderId="0" xfId="0" applyNumberFormat="1" applyFont="1" applyFill="1" applyBorder="1" applyAlignment="1" applyProtection="1">
      <alignment horizontal="center"/>
    </xf>
    <xf numFmtId="2" fontId="7" fillId="7" borderId="4" xfId="4" applyNumberFormat="1" applyFont="1" applyFill="1" applyBorder="1" applyAlignment="1">
      <alignment horizontal="center"/>
    </xf>
    <xf numFmtId="2" fontId="7" fillId="7" borderId="3" xfId="4" applyNumberFormat="1" applyFont="1" applyFill="1" applyBorder="1" applyAlignment="1">
      <alignment horizontal="center"/>
    </xf>
    <xf numFmtId="2" fontId="7" fillId="7" borderId="22" xfId="4" applyNumberFormat="1" applyFont="1" applyFill="1" applyBorder="1" applyAlignment="1">
      <alignment horizontal="center"/>
    </xf>
    <xf numFmtId="0" fontId="18" fillId="2" borderId="21" xfId="9" applyFont="1" applyFill="1" applyBorder="1" applyProtection="1">
      <protection locked="0"/>
    </xf>
  </cellXfs>
  <cellStyles count="10">
    <cellStyle name="Currency" xfId="1" builtinId="4"/>
    <cellStyle name="Currency_Stockers-wghs North GA" xfId="6"/>
    <cellStyle name="Heading 1_Stockers-wghs North GA" xfId="5"/>
    <cellStyle name="Hyperlink" xfId="9" builtinId="8"/>
    <cellStyle name="Normal" xfId="0" builtinId="0"/>
    <cellStyle name="Normal_budgets-trial" xfId="3"/>
    <cellStyle name="Normal_Stockers-wghs North GA" xfId="4"/>
    <cellStyle name="Percent" xfId="2" builtinId="5"/>
    <cellStyle name="Percent_Stockers-wghs North GA" xfId="7"/>
    <cellStyle name="TableStyleLight1" xfId="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</xdr:colOff>
      <xdr:row>0</xdr:row>
      <xdr:rowOff>28575</xdr:rowOff>
    </xdr:from>
    <xdr:to>
      <xdr:col>8</xdr:col>
      <xdr:colOff>1209675</xdr:colOff>
      <xdr:row>3</xdr:row>
      <xdr:rowOff>0</xdr:rowOff>
    </xdr:to>
    <xdr:pic>
      <xdr:nvPicPr>
        <xdr:cNvPr id="2" name="Picture 1" descr="C:\Documents and Settings\AFlanders\My Documents\Current My Documents\Administrative\UA-color-cntr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0" y="28575"/>
          <a:ext cx="12001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1362075</xdr:colOff>
      <xdr:row>4</xdr:row>
      <xdr:rowOff>19050</xdr:rowOff>
    </xdr:to>
    <xdr:pic>
      <xdr:nvPicPr>
        <xdr:cNvPr id="2" name="Picture 1" descr="C:\Documents and Settings\AFlanders\My Documents\Current My Documents\Administrative\UA-color-cntr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38700" y="0"/>
          <a:ext cx="13620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0</xdr:row>
      <xdr:rowOff>28575</xdr:rowOff>
    </xdr:from>
    <xdr:to>
      <xdr:col>10</xdr:col>
      <xdr:colOff>0</xdr:colOff>
      <xdr:row>4</xdr:row>
      <xdr:rowOff>76200</xdr:rowOff>
    </xdr:to>
    <xdr:pic>
      <xdr:nvPicPr>
        <xdr:cNvPr id="2" name="Picture 1" descr="C:\Documents and Settings\AFlanders\My Documents\Current My Documents\Administrative\UA-color-cntr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14900" y="28575"/>
          <a:ext cx="11811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28574</xdr:rowOff>
    </xdr:from>
    <xdr:to>
      <xdr:col>1</xdr:col>
      <xdr:colOff>333375</xdr:colOff>
      <xdr:row>15</xdr:row>
      <xdr:rowOff>19049</xdr:rowOff>
    </xdr:to>
    <xdr:pic>
      <xdr:nvPicPr>
        <xdr:cNvPr id="4" name="Picture 3" descr="C:\Documents and Settings\AFlanders\My Documents\Current My Documents\Administrative\UA-color-cntr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124074"/>
          <a:ext cx="12668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314325</xdr:colOff>
      <xdr:row>0</xdr:row>
      <xdr:rowOff>57150</xdr:rowOff>
    </xdr:from>
    <xdr:to>
      <xdr:col>11</xdr:col>
      <xdr:colOff>258802</xdr:colOff>
      <xdr:row>3</xdr:row>
      <xdr:rowOff>123825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0775" y="57150"/>
          <a:ext cx="1106527" cy="6381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438149</xdr:colOff>
      <xdr:row>7</xdr:row>
      <xdr:rowOff>219075</xdr:rowOff>
    </xdr:from>
    <xdr:to>
      <xdr:col>11</xdr:col>
      <xdr:colOff>561974</xdr:colOff>
      <xdr:row>10</xdr:row>
      <xdr:rowOff>142875</xdr:rowOff>
    </xdr:to>
    <xdr:pic>
      <xdr:nvPicPr>
        <xdr:cNvPr id="3" name="Picture 2" descr="C:\Documents and Settings\AFlanders\My Documents\Current My Documents\Administrative\UA-color-cntr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53799" y="1933575"/>
          <a:ext cx="12858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flanders/Desktop/Documents/Documents/Enterprise%20Budgets/Livestock/UAEX_Cattle_Budgets/1_Budget_2014/Budgets_Interactive/UGA_CowCalfBudget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Main"/>
      <sheetName val="Bermuda"/>
      <sheetName val="Fescue"/>
      <sheetName val="Winter_Grazing"/>
      <sheetName val="Summer_Annual"/>
      <sheetName val="Hay"/>
      <sheetName val="Feed"/>
      <sheetName val="Vet"/>
      <sheetName val="Auction"/>
      <sheetName val="Lvstk_Facil"/>
      <sheetName val="Equipment"/>
      <sheetName val="Fixed_Cost"/>
      <sheetName val="Fixed_Payment"/>
      <sheetName val="J"/>
      <sheetName val="K"/>
      <sheetName val="L"/>
      <sheetName val="M"/>
      <sheetName val="N"/>
      <sheetName val="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2">
          <cell r="D32">
            <v>1984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7"/>
  <sheetViews>
    <sheetView workbookViewId="0">
      <selection sqref="A1:F1"/>
    </sheetView>
  </sheetViews>
  <sheetFormatPr defaultRowHeight="15" x14ac:dyDescent="0.25"/>
  <cols>
    <col min="1" max="1" width="40.7109375" customWidth="1"/>
    <col min="2" max="2" width="8.42578125" customWidth="1"/>
    <col min="3" max="3" width="8.140625" customWidth="1"/>
    <col min="4" max="4" width="11.85546875" customWidth="1"/>
    <col min="5" max="6" width="10.42578125" customWidth="1"/>
    <col min="7" max="7" width="10.140625" customWidth="1"/>
    <col min="8" max="8" width="9.28515625" customWidth="1"/>
    <col min="9" max="9" width="11" customWidth="1"/>
    <col min="10" max="11" width="9.28515625" customWidth="1"/>
  </cols>
  <sheetData>
    <row r="1" spans="1:27" ht="15.75" x14ac:dyDescent="0.25">
      <c r="A1" s="331" t="str">
        <f>Budget!A1</f>
        <v>Cow/Calf Budget per Cow and Total Cow Herd, 2019</v>
      </c>
      <c r="B1" s="331"/>
      <c r="C1" s="331"/>
      <c r="D1" s="331"/>
      <c r="E1" s="331"/>
      <c r="F1" s="331"/>
      <c r="G1" s="24"/>
      <c r="H1" s="27"/>
      <c r="I1" s="26"/>
      <c r="J1" s="25"/>
      <c r="K1" s="12"/>
      <c r="L1" s="12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27" x14ac:dyDescent="0.25">
      <c r="A2" s="326" t="str">
        <f>Budget!A2</f>
        <v xml:space="preserve">Head, cow herd </v>
      </c>
      <c r="B2" s="186">
        <f>Budget!B2</f>
        <v>40</v>
      </c>
      <c r="C2" s="284">
        <f>Budget!C2</f>
        <v>0</v>
      </c>
      <c r="D2" s="286" t="str">
        <f>Budget!D2</f>
        <v>Herd Change</v>
      </c>
      <c r="E2" s="287" t="str">
        <f>Budget!E2</f>
        <v>Cows/Bull</v>
      </c>
      <c r="F2" s="322">
        <f>Budget!F2</f>
        <v>20</v>
      </c>
      <c r="G2" s="24"/>
      <c r="H2" s="27"/>
      <c r="I2" s="11"/>
      <c r="J2" s="25"/>
      <c r="K2" s="12"/>
      <c r="L2" s="12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x14ac:dyDescent="0.25">
      <c r="A3" s="260" t="str">
        <f>Budget!A3</f>
        <v>Bulls, head</v>
      </c>
      <c r="B3" s="311">
        <f>Budget!B3</f>
        <v>2</v>
      </c>
      <c r="C3" s="187">
        <f>Budget!C3</f>
        <v>0</v>
      </c>
      <c r="D3" s="332" t="str">
        <f>Budget!D3</f>
        <v>Death loss for cow herd, percent</v>
      </c>
      <c r="E3" s="333">
        <f>Budget!E3</f>
        <v>0</v>
      </c>
      <c r="F3" s="334">
        <f>Budget!F3</f>
        <v>0</v>
      </c>
      <c r="G3" s="37" t="str">
        <f>IF(C6&lt;0,"Error, cant't keep heifers you ain't got."," ")</f>
        <v xml:space="preserve"> </v>
      </c>
      <c r="H3" s="27"/>
      <c r="I3" s="26"/>
      <c r="J3" s="25"/>
      <c r="K3" s="12"/>
      <c r="L3" s="12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x14ac:dyDescent="0.25">
      <c r="A4" s="260" t="str">
        <f>Budget!A4</f>
        <v>Death loss for cow herd, head</v>
      </c>
      <c r="B4" s="186">
        <f>Budget!B4</f>
        <v>0</v>
      </c>
      <c r="C4" s="323">
        <f>Budget!C4</f>
        <v>0.1</v>
      </c>
      <c r="D4" s="332" t="str">
        <f>Budget!D4</f>
        <v xml:space="preserve">Full retained heifer replacement rate </v>
      </c>
      <c r="E4" s="333">
        <f>Budget!E4</f>
        <v>0</v>
      </c>
      <c r="F4" s="334">
        <f>Budget!F4</f>
        <v>0</v>
      </c>
      <c r="G4" s="24"/>
      <c r="H4" s="27"/>
      <c r="I4" s="26"/>
      <c r="J4" s="25"/>
      <c r="K4" s="12"/>
      <c r="L4" s="12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x14ac:dyDescent="0.25">
      <c r="A5" s="260" t="str">
        <f>Budget!A5</f>
        <v>Calving rate, percent</v>
      </c>
      <c r="B5" s="300">
        <f>Budget!B5</f>
        <v>0.85</v>
      </c>
      <c r="C5" s="323">
        <f>Budget!C5</f>
        <v>0.1</v>
      </c>
      <c r="D5" s="332" t="str">
        <f>Budget!D5</f>
        <v>Retained heifer replacement rate</v>
      </c>
      <c r="E5" s="333">
        <f>Budget!E5</f>
        <v>0</v>
      </c>
      <c r="F5" s="334">
        <f>Budget!F5</f>
        <v>0</v>
      </c>
      <c r="G5" s="24"/>
      <c r="H5" s="27"/>
      <c r="I5" s="26"/>
      <c r="J5" s="25"/>
      <c r="K5" s="12"/>
      <c r="L5" s="12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x14ac:dyDescent="0.25">
      <c r="A6" s="260" t="str">
        <f>Budget!A6</f>
        <v>Heifers, percent of calving rate calves</v>
      </c>
      <c r="B6" s="187">
        <f>Budget!B6</f>
        <v>0.5</v>
      </c>
      <c r="C6" s="284">
        <f>Budget!C6</f>
        <v>17</v>
      </c>
      <c r="D6" s="260" t="str">
        <f>Budget!D6</f>
        <v xml:space="preserve">Heifers   </v>
      </c>
      <c r="E6" s="324" t="str">
        <f>Budget!E6</f>
        <v>Steers</v>
      </c>
      <c r="F6" s="280">
        <f>Budget!F6</f>
        <v>17</v>
      </c>
      <c r="G6" s="24"/>
      <c r="H6" s="27"/>
      <c r="I6" s="26"/>
      <c r="J6" s="25"/>
      <c r="K6" s="12"/>
      <c r="L6" s="12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x14ac:dyDescent="0.25">
      <c r="A7" s="260" t="str">
        <f>Budget!A7</f>
        <v>Death loss for heifers, percent of total heifers</v>
      </c>
      <c r="B7" s="187">
        <f>Budget!B7</f>
        <v>0</v>
      </c>
      <c r="C7" s="323">
        <f>Budget!C7</f>
        <v>0.32499999999999996</v>
      </c>
      <c r="D7" s="123" t="str">
        <f>Budget!D7</f>
        <v xml:space="preserve">Heifer, Rate Sold    Head </v>
      </c>
      <c r="E7" s="325"/>
      <c r="F7" s="280">
        <f>Budget!F7</f>
        <v>12.999999999999998</v>
      </c>
      <c r="G7" s="24"/>
      <c r="H7" s="27"/>
      <c r="I7" s="26"/>
      <c r="J7" s="25"/>
      <c r="K7" s="12"/>
      <c r="L7" s="12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x14ac:dyDescent="0.25">
      <c r="A8" s="260" t="str">
        <f>Budget!A8</f>
        <v>Death loss for steers, percent of total steers</v>
      </c>
      <c r="B8" s="187">
        <f>Budget!B8</f>
        <v>0</v>
      </c>
      <c r="C8" s="323">
        <f>Budget!C8</f>
        <v>0.42499999999999999</v>
      </c>
      <c r="D8" s="123" t="str">
        <f>Budget!D8</f>
        <v>Steer, Rate Sold      Head</v>
      </c>
      <c r="E8" s="325"/>
      <c r="F8" s="280">
        <f>Budget!F8</f>
        <v>17</v>
      </c>
      <c r="G8" s="26"/>
      <c r="H8" s="26"/>
      <c r="I8" s="26"/>
      <c r="J8" s="25"/>
      <c r="K8" s="12"/>
      <c r="L8" s="12"/>
      <c r="M8" s="12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x14ac:dyDescent="0.25">
      <c r="A9" s="260" t="str">
        <f>Budget!A9</f>
        <v>Cull cows sold from cow herd, percent</v>
      </c>
      <c r="B9" s="187">
        <f>Budget!B9</f>
        <v>0.1</v>
      </c>
      <c r="C9" s="283">
        <f>Budget!C9</f>
        <v>34</v>
      </c>
      <c r="D9" s="27" t="str">
        <f>Budget!D9</f>
        <v>Calves, total</v>
      </c>
      <c r="E9" s="321" t="str">
        <f>Budget!E9</f>
        <v>Head Sold</v>
      </c>
      <c r="F9" s="280">
        <f>Budget!F9</f>
        <v>30</v>
      </c>
      <c r="G9" s="26"/>
      <c r="H9" s="26"/>
      <c r="I9" s="26"/>
      <c r="J9" s="26"/>
      <c r="K9" s="12"/>
      <c r="L9" s="12"/>
      <c r="M9" s="12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x14ac:dyDescent="0.25">
      <c r="A10" s="261" t="str">
        <f>Budget!A10</f>
        <v>Percent of full retained heifer replacement rate</v>
      </c>
      <c r="B10" s="301">
        <f>Budget!B10</f>
        <v>1</v>
      </c>
      <c r="C10" s="283">
        <f>Budget!C10</f>
        <v>4</v>
      </c>
      <c r="D10" s="25" t="str">
        <f>Budget!D10</f>
        <v>Head, cull cows sold</v>
      </c>
      <c r="E10" s="25"/>
      <c r="F10" s="327"/>
      <c r="G10" s="26"/>
      <c r="H10" s="26"/>
      <c r="I10" s="26"/>
      <c r="J10" s="26"/>
      <c r="K10" s="11"/>
      <c r="L10" s="12"/>
      <c r="M10" s="12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x14ac:dyDescent="0.25">
      <c r="A11" s="262" t="str">
        <f>Budget!A11</f>
        <v>Purchased heifers, not bred for current year</v>
      </c>
      <c r="B11" s="186">
        <f>Budget!B11</f>
        <v>0</v>
      </c>
      <c r="C11" s="284">
        <f>Budget!C11</f>
        <v>4</v>
      </c>
      <c r="D11" s="20" t="str">
        <f>Budget!D11</f>
        <v>Head, retained replacement heifers</v>
      </c>
      <c r="E11" s="20"/>
      <c r="F11" s="263"/>
      <c r="G11" s="26"/>
      <c r="H11" s="26"/>
      <c r="I11" s="26"/>
      <c r="J11" s="26"/>
      <c r="K11" s="11"/>
      <c r="L11" s="11"/>
      <c r="M11" s="12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x14ac:dyDescent="0.25">
      <c r="A12" s="264" t="str">
        <f>Budget!A12</f>
        <v>Revenue</v>
      </c>
      <c r="B12" s="21" t="str">
        <f>Budget!B12</f>
        <v>Unit</v>
      </c>
      <c r="C12" s="21" t="str">
        <f>Budget!C12</f>
        <v>Quantity</v>
      </c>
      <c r="D12" s="21" t="str">
        <f>Budget!D12</f>
        <v>Price</v>
      </c>
      <c r="E12" s="21" t="str">
        <f>Budget!E12</f>
        <v>$ per Cow</v>
      </c>
      <c r="F12" s="265" t="str">
        <f>Budget!F12</f>
        <v>Total $</v>
      </c>
      <c r="G12" s="26"/>
      <c r="H12" s="26"/>
      <c r="I12" s="26"/>
      <c r="J12" s="26"/>
      <c r="K12" s="12"/>
      <c r="L12" s="12"/>
      <c r="M12" s="12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x14ac:dyDescent="0.25">
      <c r="A13" s="261" t="str">
        <f>Budget!A13</f>
        <v>Cull Cows</v>
      </c>
      <c r="B13" s="116" t="str">
        <f>Budget!B13</f>
        <v>lb.</v>
      </c>
      <c r="C13" s="182">
        <f>Budget!C13</f>
        <v>1100</v>
      </c>
      <c r="D13" s="328">
        <f>Budget!D13</f>
        <v>0.5</v>
      </c>
      <c r="E13" s="35">
        <f>Budget!E13</f>
        <v>55</v>
      </c>
      <c r="F13" s="266">
        <f>Budget!F13</f>
        <v>2200</v>
      </c>
      <c r="G13" s="26"/>
      <c r="H13" s="26"/>
      <c r="I13" s="26"/>
      <c r="J13" s="25"/>
      <c r="K13" s="2"/>
      <c r="L13" s="12"/>
      <c r="M13" s="12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x14ac:dyDescent="0.25">
      <c r="A14" s="261" t="str">
        <f>Budget!A14</f>
        <v>Heifer Calves</v>
      </c>
      <c r="B14" s="116" t="str">
        <f>Budget!B14</f>
        <v>lb.</v>
      </c>
      <c r="C14" s="182">
        <f>Budget!C14</f>
        <v>520</v>
      </c>
      <c r="D14" s="328">
        <f>Budget!D14</f>
        <v>1.3</v>
      </c>
      <c r="E14" s="35">
        <f>Budget!E14</f>
        <v>219.69999999999996</v>
      </c>
      <c r="F14" s="266">
        <f>Budget!F14</f>
        <v>8787.9999999999982</v>
      </c>
      <c r="G14" s="26"/>
      <c r="H14" s="26"/>
      <c r="I14" s="26"/>
      <c r="J14" s="25"/>
      <c r="K14" s="12"/>
      <c r="L14" s="12"/>
      <c r="M14" s="12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x14ac:dyDescent="0.25">
      <c r="A15" s="261" t="str">
        <f>Budget!A15</f>
        <v>Steer Calves</v>
      </c>
      <c r="B15" s="116" t="str">
        <f>Budget!B15</f>
        <v>lb.</v>
      </c>
      <c r="C15" s="182">
        <f>Budget!C15</f>
        <v>550</v>
      </c>
      <c r="D15" s="328">
        <f>Budget!D15</f>
        <v>1.5</v>
      </c>
      <c r="E15" s="35">
        <f>Budget!E15</f>
        <v>350.625</v>
      </c>
      <c r="F15" s="266">
        <f>Budget!F15</f>
        <v>14025</v>
      </c>
      <c r="G15" s="26"/>
      <c r="H15" s="26"/>
      <c r="I15" s="26"/>
      <c r="J15" s="25"/>
      <c r="K15" s="12"/>
      <c r="L15" s="12"/>
      <c r="M15" s="12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x14ac:dyDescent="0.25">
      <c r="A16" s="267" t="str">
        <f>Budget!A16</f>
        <v>Total Revenue</v>
      </c>
      <c r="B16" s="25"/>
      <c r="C16" s="268"/>
      <c r="D16" s="35"/>
      <c r="E16" s="269">
        <f>Budget!E16</f>
        <v>625.32499999999993</v>
      </c>
      <c r="F16" s="270">
        <f>Budget!F16</f>
        <v>25013</v>
      </c>
      <c r="G16" s="26"/>
      <c r="H16" s="26"/>
      <c r="I16" s="26"/>
      <c r="J16" s="25"/>
      <c r="K16" s="12"/>
      <c r="L16" s="12"/>
      <c r="M16" s="12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x14ac:dyDescent="0.25">
      <c r="A17" s="271" t="str">
        <f>Budget!A17</f>
        <v>Operating Expenses</v>
      </c>
      <c r="B17" s="25"/>
      <c r="C17" s="268"/>
      <c r="D17" s="35"/>
      <c r="E17" s="35"/>
      <c r="F17" s="266"/>
      <c r="G17" s="26"/>
      <c r="H17" s="26"/>
      <c r="I17" s="26"/>
      <c r="J17" s="26"/>
      <c r="K17" s="12"/>
      <c r="L17" s="12"/>
      <c r="M17" s="12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x14ac:dyDescent="0.25">
      <c r="A18" s="261" t="str">
        <f>Budget!A18</f>
        <v>Pasture Production</v>
      </c>
      <c r="B18" s="116" t="str">
        <f>Budget!B18</f>
        <v>acre</v>
      </c>
      <c r="C18" s="328">
        <f>Budget!C18</f>
        <v>2.25</v>
      </c>
      <c r="D18" s="35">
        <f>Budget!D18</f>
        <v>2.5</v>
      </c>
      <c r="E18" s="35">
        <f>Budget!E18</f>
        <v>5.625</v>
      </c>
      <c r="F18" s="266">
        <f>Budget!F18</f>
        <v>225</v>
      </c>
      <c r="G18" s="25"/>
      <c r="H18" s="2"/>
      <c r="I18" s="49"/>
      <c r="J18" s="25"/>
      <c r="K18" s="12"/>
      <c r="L18" s="12"/>
      <c r="M18" s="12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x14ac:dyDescent="0.25">
      <c r="A19" s="261" t="str">
        <f>Budget!A19</f>
        <v>Hay Production</v>
      </c>
      <c r="B19" s="116" t="str">
        <f>Budget!B19</f>
        <v>acre</v>
      </c>
      <c r="C19" s="328">
        <f>Budget!C19</f>
        <v>0.75</v>
      </c>
      <c r="D19" s="35">
        <f>Budget!D19</f>
        <v>137.15</v>
      </c>
      <c r="E19" s="35">
        <f>Budget!E19</f>
        <v>102.86250000000001</v>
      </c>
      <c r="F19" s="266">
        <f>Budget!F19</f>
        <v>4114.5</v>
      </c>
      <c r="G19" s="12"/>
      <c r="H19" s="11"/>
      <c r="I19" s="11"/>
      <c r="J19" s="12"/>
      <c r="K19" s="12"/>
      <c r="L19" s="12"/>
      <c r="M19" s="12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x14ac:dyDescent="0.25">
      <c r="A20" s="261" t="str">
        <f>Budget!A20</f>
        <v>Purchased Hay per Cow</v>
      </c>
      <c r="B20" s="116" t="str">
        <f>Budget!B20</f>
        <v>ton</v>
      </c>
      <c r="C20" s="328">
        <f>Budget!C20</f>
        <v>0</v>
      </c>
      <c r="D20" s="328">
        <f>Budget!D20</f>
        <v>60</v>
      </c>
      <c r="E20" s="35">
        <f>Budget!E20</f>
        <v>0</v>
      </c>
      <c r="F20" s="266">
        <f>Budget!F20</f>
        <v>0</v>
      </c>
      <c r="G20" s="12"/>
      <c r="H20" s="12"/>
      <c r="I20" s="12"/>
      <c r="J20" s="12"/>
      <c r="K20" s="12"/>
      <c r="L20" s="12"/>
      <c r="M20" s="12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x14ac:dyDescent="0.25">
      <c r="A21" s="261" t="str">
        <f>Budget!A21</f>
        <v>Supplemental Feed for Cows</v>
      </c>
      <c r="B21" s="116" t="str">
        <f>Budget!B21</f>
        <v>lb.</v>
      </c>
      <c r="C21" s="35">
        <f>Budget!C21</f>
        <v>495</v>
      </c>
      <c r="D21" s="272">
        <f>Budget!D21</f>
        <v>9.5000000000000001E-2</v>
      </c>
      <c r="E21" s="35">
        <f>Budget!E21</f>
        <v>47.024999999999999</v>
      </c>
      <c r="F21" s="266">
        <f>Budget!F21</f>
        <v>1881</v>
      </c>
      <c r="G21" s="12"/>
      <c r="H21" s="12"/>
      <c r="I21" s="12"/>
      <c r="J21" s="12"/>
      <c r="K21" s="12"/>
      <c r="L21" s="12"/>
      <c r="M21" s="12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x14ac:dyDescent="0.25">
      <c r="A22" s="261" t="str">
        <f>Budget!A22</f>
        <v>Supplemental Feed, Replacement Heifers</v>
      </c>
      <c r="B22" s="116" t="str">
        <f>Budget!B22</f>
        <v>lb.</v>
      </c>
      <c r="C22" s="35">
        <f>Budget!C22</f>
        <v>675</v>
      </c>
      <c r="D22" s="272">
        <f>Budget!D22</f>
        <v>9.5000000000000001E-2</v>
      </c>
      <c r="E22" s="35">
        <f>Budget!E22</f>
        <v>6.4125000000000005</v>
      </c>
      <c r="F22" s="266">
        <f>Budget!F22</f>
        <v>256.5</v>
      </c>
      <c r="G22" s="12"/>
      <c r="H22" s="12"/>
      <c r="I22" s="12"/>
      <c r="J22" s="12"/>
      <c r="K22" s="12"/>
      <c r="L22" s="12"/>
      <c r="M22" s="12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x14ac:dyDescent="0.25">
      <c r="A23" s="261" t="str">
        <f>Budget!A23</f>
        <v>Supplemental Feed, Bulls</v>
      </c>
      <c r="B23" s="116" t="str">
        <f>Budget!B23</f>
        <v>lb.</v>
      </c>
      <c r="C23" s="35">
        <f>Budget!C23</f>
        <v>0</v>
      </c>
      <c r="D23" s="272">
        <f>Budget!D23</f>
        <v>0</v>
      </c>
      <c r="E23" s="35">
        <f>Budget!E23</f>
        <v>0</v>
      </c>
      <c r="F23" s="266">
        <f>Budget!F23</f>
        <v>0</v>
      </c>
      <c r="G23" s="12"/>
      <c r="H23" s="12"/>
      <c r="I23" s="12"/>
      <c r="J23" s="12"/>
      <c r="K23" s="12"/>
      <c r="L23" s="12"/>
      <c r="M23" s="12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x14ac:dyDescent="0.25">
      <c r="A24" s="261" t="str">
        <f>Budget!A24</f>
        <v>Supplemental Feed, Calves Sold</v>
      </c>
      <c r="B24" s="116" t="str">
        <f>Budget!B24</f>
        <v>lb.</v>
      </c>
      <c r="C24" s="35">
        <f>Budget!C24</f>
        <v>0</v>
      </c>
      <c r="D24" s="272">
        <f>Budget!D24</f>
        <v>0</v>
      </c>
      <c r="E24" s="35">
        <f>Budget!E24</f>
        <v>0</v>
      </c>
      <c r="F24" s="266">
        <f>Budget!F24</f>
        <v>0</v>
      </c>
      <c r="G24" s="12"/>
      <c r="H24" s="12"/>
      <c r="I24" s="12"/>
      <c r="J24" s="12"/>
      <c r="K24" s="12"/>
      <c r="L24" s="12"/>
      <c r="M24" s="12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x14ac:dyDescent="0.25">
      <c r="A25" s="261" t="str">
        <f>Budget!A25</f>
        <v>Salt, Minerals for Cows</v>
      </c>
      <c r="B25" s="116" t="str">
        <f>Budget!B25</f>
        <v>lb.</v>
      </c>
      <c r="C25" s="328">
        <f>Budget!C25</f>
        <v>90</v>
      </c>
      <c r="D25" s="329">
        <f>Budget!D25</f>
        <v>0.42</v>
      </c>
      <c r="E25" s="35">
        <f>Budget!E25</f>
        <v>37.799999999999997</v>
      </c>
      <c r="F25" s="266">
        <f>Budget!F25</f>
        <v>1512</v>
      </c>
      <c r="G25" s="12"/>
      <c r="H25" s="12"/>
      <c r="I25" s="12"/>
      <c r="J25" s="12"/>
      <c r="K25" s="12"/>
      <c r="L25" s="12"/>
      <c r="M25" s="12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x14ac:dyDescent="0.25">
      <c r="A26" s="261" t="str">
        <f>Budget!A26</f>
        <v>Veterinary &amp; Medicine for Cows</v>
      </c>
      <c r="B26" s="116" t="str">
        <f>Budget!B26</f>
        <v>head</v>
      </c>
      <c r="C26" s="35">
        <f>Budget!C26</f>
        <v>1</v>
      </c>
      <c r="D26" s="35">
        <f>Budget!D26</f>
        <v>27.5</v>
      </c>
      <c r="E26" s="35">
        <f>Budget!E26</f>
        <v>27.5</v>
      </c>
      <c r="F26" s="266">
        <f>Budget!F26</f>
        <v>1100</v>
      </c>
      <c r="G26" s="12"/>
      <c r="H26" s="12"/>
      <c r="I26" s="12"/>
      <c r="K26" s="12"/>
      <c r="L26" s="12"/>
      <c r="M26" s="12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x14ac:dyDescent="0.25">
      <c r="A27" s="261" t="str">
        <f>Budget!A27</f>
        <v>Veterinary &amp; Medicine, Replacement Heifers</v>
      </c>
      <c r="B27" s="116" t="str">
        <f>Budget!B27</f>
        <v>head</v>
      </c>
      <c r="C27" s="35">
        <f>Budget!C27</f>
        <v>0.1</v>
      </c>
      <c r="D27" s="35">
        <f>Budget!D27</f>
        <v>10</v>
      </c>
      <c r="E27" s="35">
        <f>Budget!E27</f>
        <v>1</v>
      </c>
      <c r="F27" s="266">
        <f>Budget!F27</f>
        <v>40</v>
      </c>
      <c r="G27" s="12"/>
      <c r="H27" s="12"/>
      <c r="I27" s="12"/>
      <c r="J27" s="12"/>
      <c r="K27" s="12"/>
      <c r="L27" s="12"/>
      <c r="M27" s="12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x14ac:dyDescent="0.25">
      <c r="A28" s="261" t="str">
        <f>Budget!A28</f>
        <v>Veterinary &amp; Medicine, Bulls</v>
      </c>
      <c r="B28" s="116" t="str">
        <f>Budget!B28</f>
        <v>head</v>
      </c>
      <c r="C28" s="35">
        <f>Budget!C28</f>
        <v>0.05</v>
      </c>
      <c r="D28" s="35">
        <f>Budget!D28</f>
        <v>99</v>
      </c>
      <c r="E28" s="35">
        <f>Budget!E28</f>
        <v>4.95</v>
      </c>
      <c r="F28" s="266">
        <f>Budget!F28</f>
        <v>198</v>
      </c>
      <c r="G28" s="12"/>
      <c r="H28" s="12"/>
      <c r="I28" s="12"/>
      <c r="J28" s="12"/>
      <c r="K28" s="12"/>
      <c r="L28" s="12"/>
      <c r="M28" s="12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x14ac:dyDescent="0.25">
      <c r="A29" s="261" t="str">
        <f>Budget!A29</f>
        <v>Veterinary &amp; Medicine, Calves Sold</v>
      </c>
      <c r="B29" s="116" t="str">
        <f>Budget!B29</f>
        <v>head</v>
      </c>
      <c r="C29" s="35">
        <f>Budget!C29</f>
        <v>0.75</v>
      </c>
      <c r="D29" s="35">
        <f>Budget!D29</f>
        <v>11.208333333333332</v>
      </c>
      <c r="E29" s="35">
        <f>Budget!E29</f>
        <v>8.40625</v>
      </c>
      <c r="F29" s="266">
        <f>Budget!F29</f>
        <v>336.25</v>
      </c>
      <c r="G29" s="12"/>
      <c r="H29" s="12"/>
      <c r="I29" s="12"/>
      <c r="J29" s="12"/>
      <c r="K29" s="12"/>
      <c r="L29" s="12"/>
      <c r="M29" s="12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x14ac:dyDescent="0.25">
      <c r="A30" s="261" t="str">
        <f>Budget!A30</f>
        <v>Other Expenses</v>
      </c>
      <c r="B30" s="116" t="str">
        <f>Budget!B30</f>
        <v>head</v>
      </c>
      <c r="C30" s="35">
        <f>Budget!C30</f>
        <v>1</v>
      </c>
      <c r="D30" s="328">
        <f>Budget!D30</f>
        <v>0</v>
      </c>
      <c r="E30" s="35">
        <f>Budget!E30</f>
        <v>0</v>
      </c>
      <c r="F30" s="266">
        <f>Budget!F30</f>
        <v>0</v>
      </c>
      <c r="G30" s="12"/>
      <c r="H30" s="12"/>
      <c r="I30" s="12"/>
      <c r="J30" s="12"/>
      <c r="K30" s="12"/>
      <c r="L30" s="12"/>
      <c r="M30" s="12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x14ac:dyDescent="0.25">
      <c r="A31" s="261" t="str">
        <f>Budget!A31</f>
        <v>Labor, Hired - Enter as Annual Hours/Cow</v>
      </c>
      <c r="B31" s="116" t="str">
        <f>Budget!B31</f>
        <v>hours</v>
      </c>
      <c r="C31" s="328">
        <f>Budget!C31</f>
        <v>0</v>
      </c>
      <c r="D31" s="328">
        <f>Budget!D31</f>
        <v>13.4</v>
      </c>
      <c r="E31" s="35">
        <f>Budget!E31</f>
        <v>0</v>
      </c>
      <c r="F31" s="266">
        <f>Budget!F31</f>
        <v>0</v>
      </c>
      <c r="G31" s="12"/>
      <c r="H31" s="12"/>
      <c r="I31" s="12"/>
      <c r="J31" s="12"/>
      <c r="K31" s="12"/>
      <c r="L31" s="12"/>
      <c r="M31" s="12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x14ac:dyDescent="0.25">
      <c r="A32" s="267" t="str">
        <f>Budget!A32</f>
        <v>Production Expenses</v>
      </c>
      <c r="B32" s="273"/>
      <c r="C32" s="269"/>
      <c r="D32" s="269"/>
      <c r="E32" s="269">
        <f>Budget!E32</f>
        <v>241.58125000000001</v>
      </c>
      <c r="F32" s="270">
        <f>Budget!F32</f>
        <v>9663.25</v>
      </c>
      <c r="G32" s="12"/>
      <c r="H32" s="12"/>
      <c r="I32" s="12"/>
      <c r="J32" s="12"/>
      <c r="K32" s="12"/>
      <c r="L32" s="12"/>
      <c r="M32" s="12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x14ac:dyDescent="0.25">
      <c r="A33" s="261" t="str">
        <f>Budget!A33</f>
        <v xml:space="preserve">Interest, Expenses: months and annual rate </v>
      </c>
      <c r="B33" s="320">
        <f>Budget!B33</f>
        <v>6</v>
      </c>
      <c r="C33" s="35">
        <f>Budget!C33</f>
        <v>241.58125000000001</v>
      </c>
      <c r="D33" s="185">
        <f>Budget!D33</f>
        <v>5.5E-2</v>
      </c>
      <c r="E33" s="35">
        <f>Budget!E33</f>
        <v>6.6434843750000008</v>
      </c>
      <c r="F33" s="266">
        <f>Budget!F33</f>
        <v>265.73937500000005</v>
      </c>
      <c r="G33" s="12"/>
      <c r="H33" s="12"/>
      <c r="I33" s="12"/>
      <c r="J33" s="12"/>
      <c r="K33" s="12"/>
      <c r="L33" s="12"/>
      <c r="M33" s="12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x14ac:dyDescent="0.25">
      <c r="A34" s="261" t="str">
        <f>Budget!A34</f>
        <v>Hauling and Auction for Calves &amp; Cull Cows</v>
      </c>
      <c r="B34" s="116" t="str">
        <f>Budget!B34</f>
        <v>head</v>
      </c>
      <c r="C34" s="35">
        <f>Budget!C34</f>
        <v>0.85</v>
      </c>
      <c r="D34" s="35">
        <f>Budget!D34</f>
        <v>37.427058823529407</v>
      </c>
      <c r="E34" s="35">
        <f>Budget!E34</f>
        <v>31.812999999999995</v>
      </c>
      <c r="F34" s="266">
        <f>Budget!F34</f>
        <v>1272.5199999999998</v>
      </c>
      <c r="G34" s="12"/>
      <c r="H34" s="12"/>
      <c r="I34" s="12"/>
      <c r="J34" s="12"/>
      <c r="K34" s="12"/>
      <c r="L34" s="12"/>
      <c r="M34" s="12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x14ac:dyDescent="0.25">
      <c r="A35" s="261" t="str">
        <f>Budget!A35</f>
        <v>Land Rent</v>
      </c>
      <c r="B35" s="116" t="str">
        <f>Budget!B35</f>
        <v>acre</v>
      </c>
      <c r="C35" s="328">
        <f>Budget!C35</f>
        <v>0</v>
      </c>
      <c r="D35" s="328">
        <f>Budget!D35</f>
        <v>0</v>
      </c>
      <c r="E35" s="35">
        <f>Budget!E35</f>
        <v>0</v>
      </c>
      <c r="F35" s="266">
        <f>Budget!F35</f>
        <v>0</v>
      </c>
      <c r="G35" s="12"/>
      <c r="H35" s="12"/>
      <c r="I35" s="12"/>
      <c r="J35" s="12"/>
      <c r="K35" s="12"/>
      <c r="L35" s="12"/>
      <c r="M35" s="12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x14ac:dyDescent="0.25">
      <c r="A36" s="267" t="str">
        <f>Budget!A36</f>
        <v>Total Operating Expense</v>
      </c>
      <c r="B36" s="25"/>
      <c r="C36" s="35"/>
      <c r="D36" s="268"/>
      <c r="E36" s="269">
        <f>Budget!E36</f>
        <v>280.03773437500001</v>
      </c>
      <c r="F36" s="270">
        <f>Budget!F36</f>
        <v>11201.509375</v>
      </c>
      <c r="G36" s="12"/>
      <c r="H36" s="12"/>
      <c r="I36" s="12"/>
      <c r="J36" s="12"/>
      <c r="K36" s="12"/>
      <c r="L36" s="12"/>
      <c r="M36" s="12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x14ac:dyDescent="0.25">
      <c r="A37" s="267" t="str">
        <f>Budget!A37</f>
        <v>Returns to Operating Expenses</v>
      </c>
      <c r="B37" s="25"/>
      <c r="C37" s="35"/>
      <c r="D37" s="268"/>
      <c r="E37" s="269">
        <f>Budget!E37</f>
        <v>345.28726562499992</v>
      </c>
      <c r="F37" s="270">
        <f>Budget!F37</f>
        <v>13811.490625</v>
      </c>
      <c r="G37" s="12"/>
      <c r="H37" s="12"/>
      <c r="J37" s="12"/>
      <c r="K37" s="12"/>
      <c r="L37" s="12"/>
      <c r="M37" s="12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x14ac:dyDescent="0.25">
      <c r="A38" s="271" t="str">
        <f>Budget!A38</f>
        <v>Fixed Costs</v>
      </c>
      <c r="B38" s="25"/>
      <c r="C38" s="35"/>
      <c r="D38" s="35"/>
      <c r="E38" s="35"/>
      <c r="F38" s="266"/>
      <c r="G38" s="26"/>
      <c r="H38" s="26"/>
      <c r="I38" s="26"/>
      <c r="J38" s="25"/>
      <c r="K38" s="12"/>
      <c r="L38" s="12"/>
      <c r="M38" s="12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x14ac:dyDescent="0.25">
      <c r="A39" s="274" t="str">
        <f>Budget!A39</f>
        <v>Pasture &amp; Hay Machinery, Equipment</v>
      </c>
      <c r="B39" s="116" t="str">
        <f>Budget!B39</f>
        <v>head</v>
      </c>
      <c r="C39" s="35">
        <f>Budget!C39</f>
        <v>1</v>
      </c>
      <c r="D39" s="35">
        <f>Budget!D39</f>
        <v>1058.0942406249999</v>
      </c>
      <c r="E39" s="35">
        <f>Budget!E39</f>
        <v>211.37272404035443</v>
      </c>
      <c r="F39" s="266">
        <f>Budget!F39</f>
        <v>8454.9089616141773</v>
      </c>
      <c r="G39" s="12"/>
      <c r="H39" s="12"/>
      <c r="I39" s="12"/>
      <c r="J39" s="12"/>
      <c r="K39" s="12"/>
      <c r="L39" s="12"/>
      <c r="M39" s="12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x14ac:dyDescent="0.25">
      <c r="A40" s="261" t="str">
        <f>Budget!A40</f>
        <v>Purchased Breeding Stock</v>
      </c>
      <c r="B40" s="116" t="str">
        <f>Budget!B40</f>
        <v>head</v>
      </c>
      <c r="C40" s="35">
        <f>Budget!C40</f>
        <v>1</v>
      </c>
      <c r="D40" s="35">
        <f>Budget!D40</f>
        <v>175</v>
      </c>
      <c r="E40" s="35">
        <f>Budget!E40</f>
        <v>34.902125000000005</v>
      </c>
      <c r="F40" s="266">
        <f>Budget!F40</f>
        <v>1396.0850000000003</v>
      </c>
      <c r="G40" s="12"/>
      <c r="H40" s="12"/>
      <c r="I40" s="12"/>
      <c r="J40" s="12"/>
      <c r="K40" s="12"/>
      <c r="L40" s="12"/>
      <c r="M40" s="12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x14ac:dyDescent="0.25">
      <c r="A41" s="261" t="str">
        <f>Budget!A41</f>
        <v>Purchased Heifers, not bred for current year</v>
      </c>
      <c r="B41" s="116" t="str">
        <f>Budget!B41</f>
        <v>head</v>
      </c>
      <c r="C41" s="35">
        <f>Budget!C41</f>
        <v>0</v>
      </c>
      <c r="D41" s="328">
        <f>Budget!D41</f>
        <v>1100</v>
      </c>
      <c r="E41" s="35">
        <f>Budget!E41</f>
        <v>0</v>
      </c>
      <c r="F41" s="266">
        <f>Budget!F41</f>
        <v>0</v>
      </c>
      <c r="G41" s="12"/>
      <c r="H41" s="12"/>
      <c r="I41" s="12"/>
      <c r="J41" s="12"/>
      <c r="K41" s="12"/>
      <c r="L41" s="12"/>
      <c r="M41" s="12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x14ac:dyDescent="0.25">
      <c r="A42" s="267" t="str">
        <f>Budget!A42</f>
        <v xml:space="preserve">Net Returns </v>
      </c>
      <c r="B42" s="116"/>
      <c r="C42" s="35"/>
      <c r="D42" s="35"/>
      <c r="E42" s="269">
        <f>Budget!E42</f>
        <v>99.012416584645479</v>
      </c>
      <c r="F42" s="330">
        <f>Budget!F42</f>
        <v>3960.4966633858221</v>
      </c>
      <c r="G42" s="11"/>
      <c r="H42" s="53"/>
      <c r="I42" s="12"/>
      <c r="J42" s="12"/>
      <c r="K42" s="12"/>
      <c r="L42" s="12"/>
      <c r="M42" s="12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x14ac:dyDescent="0.25">
      <c r="A43" s="261" t="str">
        <f>Budget!A43</f>
        <v xml:space="preserve">Livestock Facilities </v>
      </c>
      <c r="B43" s="116" t="str">
        <f>Budget!B43</f>
        <v>head</v>
      </c>
      <c r="C43" s="35">
        <f>Budget!C43</f>
        <v>1</v>
      </c>
      <c r="D43" s="35">
        <f>Budget!D43</f>
        <v>729.44837459996711</v>
      </c>
      <c r="E43" s="35">
        <f>Budget!E43</f>
        <v>130.95115573947825</v>
      </c>
      <c r="F43" s="266">
        <f>Budget!F43</f>
        <v>5238.0462295791303</v>
      </c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x14ac:dyDescent="0.25">
      <c r="A44" s="267" t="str">
        <f>Budget!A44</f>
        <v>Total Fixed Costs</v>
      </c>
      <c r="B44" s="25"/>
      <c r="C44" s="35"/>
      <c r="D44" s="35"/>
      <c r="E44" s="269">
        <f>Budget!E44</f>
        <v>377.22600477983269</v>
      </c>
      <c r="F44" s="270">
        <f>Budget!F44</f>
        <v>15089.040191193308</v>
      </c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x14ac:dyDescent="0.25">
      <c r="A45" s="267" t="str">
        <f>Budget!A45</f>
        <v>Total Specified Expenses</v>
      </c>
      <c r="B45" s="25"/>
      <c r="C45" s="35"/>
      <c r="D45" s="35"/>
      <c r="E45" s="269">
        <f>Budget!E45</f>
        <v>657.26373915483271</v>
      </c>
      <c r="F45" s="270">
        <f>Budget!F45</f>
        <v>26290.549566193309</v>
      </c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x14ac:dyDescent="0.25">
      <c r="A46" s="275" t="str">
        <f>Budget!A46</f>
        <v>Net Returns to Total Specified Expenses</v>
      </c>
      <c r="B46" s="276"/>
      <c r="C46" s="277"/>
      <c r="D46" s="277"/>
      <c r="E46" s="277">
        <f>Budget!E46</f>
        <v>-31.938739154832774</v>
      </c>
      <c r="F46" s="278">
        <f>Budget!F46</f>
        <v>-1277.5495661933091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26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45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47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47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46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46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46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46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46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46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46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46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46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</sheetData>
  <sheetProtection sheet="1" objects="1" scenarios="1" selectLockedCells="1" selectUnlockedCells="1"/>
  <mergeCells count="4">
    <mergeCell ref="A1:F1"/>
    <mergeCell ref="D3:F3"/>
    <mergeCell ref="D4:F4"/>
    <mergeCell ref="D5:F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8"/>
  <sheetViews>
    <sheetView tabSelected="1" zoomScaleNormal="100" workbookViewId="0">
      <pane ySplit="12" topLeftCell="A13" activePane="bottomLeft" state="frozen"/>
      <selection pane="bottomLeft" activeCell="B2" sqref="B2"/>
    </sheetView>
  </sheetViews>
  <sheetFormatPr defaultRowHeight="15" x14ac:dyDescent="0.25"/>
  <cols>
    <col min="1" max="1" width="40.7109375" customWidth="1"/>
    <col min="2" max="2" width="8.42578125" customWidth="1"/>
    <col min="3" max="3" width="8.140625" customWidth="1"/>
    <col min="4" max="4" width="11.85546875" customWidth="1"/>
    <col min="5" max="6" width="10.42578125" customWidth="1"/>
    <col min="7" max="7" width="10.140625" customWidth="1"/>
    <col min="8" max="8" width="2.140625" customWidth="1"/>
    <col min="9" max="9" width="11" customWidth="1"/>
    <col min="10" max="11" width="9.28515625" customWidth="1"/>
  </cols>
  <sheetData>
    <row r="1" spans="1:27" ht="15.75" x14ac:dyDescent="0.25">
      <c r="A1" s="338" t="s">
        <v>243</v>
      </c>
      <c r="B1" s="338"/>
      <c r="C1" s="338"/>
      <c r="D1" s="338"/>
      <c r="E1" s="338"/>
      <c r="F1" s="338"/>
      <c r="G1" s="24"/>
      <c r="H1" s="27"/>
      <c r="I1" s="26"/>
      <c r="J1" s="25"/>
      <c r="K1" s="12"/>
      <c r="L1" s="12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27" x14ac:dyDescent="0.25">
      <c r="A2" s="9" t="s">
        <v>41</v>
      </c>
      <c r="B2" s="186">
        <v>40</v>
      </c>
      <c r="C2" s="281">
        <f>((C5-C4)*B2)+(C41*B2)</f>
        <v>0</v>
      </c>
      <c r="D2" s="9" t="s">
        <v>234</v>
      </c>
      <c r="E2" s="139" t="s">
        <v>228</v>
      </c>
      <c r="F2" s="310">
        <f>B2/B3</f>
        <v>20</v>
      </c>
      <c r="G2" s="24"/>
      <c r="H2" s="27"/>
      <c r="I2" s="11"/>
      <c r="J2" s="25"/>
      <c r="K2" s="12"/>
      <c r="L2" s="117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x14ac:dyDescent="0.25">
      <c r="A3" s="13" t="s">
        <v>227</v>
      </c>
      <c r="B3" s="311">
        <v>2</v>
      </c>
      <c r="C3" s="312">
        <f>B4/B2</f>
        <v>0</v>
      </c>
      <c r="D3" s="341" t="s">
        <v>132</v>
      </c>
      <c r="E3" s="342"/>
      <c r="F3" s="342"/>
      <c r="G3" s="24"/>
      <c r="H3" s="27"/>
      <c r="I3" s="11"/>
      <c r="J3" s="25"/>
      <c r="K3" s="309"/>
      <c r="L3" s="11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x14ac:dyDescent="0.25">
      <c r="A4" s="13" t="s">
        <v>229</v>
      </c>
      <c r="B4" s="186">
        <v>0</v>
      </c>
      <c r="C4" s="314">
        <f>B9+C3</f>
        <v>0.1</v>
      </c>
      <c r="D4" s="341" t="s">
        <v>143</v>
      </c>
      <c r="E4" s="342"/>
      <c r="F4" s="342"/>
      <c r="G4" s="24"/>
      <c r="H4" s="27"/>
      <c r="I4" s="11"/>
      <c r="J4" s="25"/>
      <c r="K4" s="309"/>
      <c r="L4" s="117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x14ac:dyDescent="0.25">
      <c r="A5" s="13" t="s">
        <v>131</v>
      </c>
      <c r="B5" s="300">
        <f>34/40</f>
        <v>0.85</v>
      </c>
      <c r="C5" s="314">
        <f>C4*B10</f>
        <v>0.1</v>
      </c>
      <c r="D5" s="341" t="s">
        <v>144</v>
      </c>
      <c r="E5" s="342"/>
      <c r="F5" s="342"/>
      <c r="G5" s="37" t="str">
        <f>IF(C7&lt;0,"Error, cant't keep heifers you ain't got."," ")</f>
        <v xml:space="preserve"> </v>
      </c>
      <c r="H5" s="27"/>
      <c r="I5" s="26"/>
      <c r="J5" s="25"/>
      <c r="K5" s="12"/>
      <c r="L5" s="12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x14ac:dyDescent="0.25">
      <c r="A6" s="13" t="s">
        <v>198</v>
      </c>
      <c r="B6" s="187">
        <f>17/34</f>
        <v>0.5</v>
      </c>
      <c r="C6" s="281">
        <f>B2*B5*B6</f>
        <v>17</v>
      </c>
      <c r="D6" s="316" t="s">
        <v>236</v>
      </c>
      <c r="E6" s="317" t="s">
        <v>235</v>
      </c>
      <c r="F6" s="279">
        <f>B2*B5*(1-B6)</f>
        <v>17</v>
      </c>
      <c r="G6" s="24"/>
      <c r="H6" s="27"/>
      <c r="I6" s="26"/>
      <c r="J6" s="25"/>
      <c r="K6" s="12"/>
      <c r="L6" s="12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x14ac:dyDescent="0.25">
      <c r="A7" s="13" t="s">
        <v>200</v>
      </c>
      <c r="B7" s="187">
        <f>0/17</f>
        <v>0</v>
      </c>
      <c r="C7" s="314">
        <f>(B5*B6)-C5</f>
        <v>0.32499999999999996</v>
      </c>
      <c r="D7" s="318" t="s">
        <v>237</v>
      </c>
      <c r="E7" s="319"/>
      <c r="F7" s="279">
        <f>(C7*$B$2)-(B2*B5*B6*B7)</f>
        <v>12.999999999999998</v>
      </c>
      <c r="G7" s="24"/>
      <c r="H7" s="27"/>
      <c r="I7" s="26"/>
      <c r="J7" s="25"/>
      <c r="K7" s="12"/>
      <c r="L7" s="12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x14ac:dyDescent="0.25">
      <c r="A8" s="13" t="s">
        <v>199</v>
      </c>
      <c r="B8" s="187">
        <f>0/17</f>
        <v>0</v>
      </c>
      <c r="C8" s="314">
        <f>(B5*(1-B6))</f>
        <v>0.42499999999999999</v>
      </c>
      <c r="D8" s="318" t="s">
        <v>238</v>
      </c>
      <c r="E8" s="319"/>
      <c r="F8" s="279">
        <f>(C8*$B$2)-(B2*B5*(1-B6)*B8)</f>
        <v>17</v>
      </c>
      <c r="G8" s="24"/>
      <c r="H8" s="27"/>
      <c r="I8" s="26"/>
      <c r="J8" s="25"/>
      <c r="K8" s="12"/>
      <c r="L8" s="12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x14ac:dyDescent="0.25">
      <c r="A9" s="13" t="s">
        <v>133</v>
      </c>
      <c r="B9" s="187">
        <f>4/40</f>
        <v>0.1</v>
      </c>
      <c r="C9" s="282">
        <f>B2*B5</f>
        <v>34</v>
      </c>
      <c r="D9" s="13" t="s">
        <v>201</v>
      </c>
      <c r="E9" s="139" t="s">
        <v>197</v>
      </c>
      <c r="F9" s="279">
        <f>F7+F8</f>
        <v>30</v>
      </c>
      <c r="G9" s="285" t="str">
        <f>IF(C9=F9+C10+(C3*B2)+(B7*C6)+(B8*F6)+(C2-B11)," Calves, total = Disposition of all calves","Error: Calves, total ≠ Disposition of all calves")</f>
        <v xml:space="preserve"> Calves, total = Disposition of all calves</v>
      </c>
      <c r="H9" s="288"/>
      <c r="I9" s="288"/>
      <c r="J9" s="25"/>
      <c r="K9" s="12"/>
      <c r="L9" s="12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x14ac:dyDescent="0.25">
      <c r="A10" s="9" t="s">
        <v>142</v>
      </c>
      <c r="B10" s="301">
        <v>1</v>
      </c>
      <c r="C10" s="282">
        <f>B9*B2</f>
        <v>4</v>
      </c>
      <c r="D10" s="9" t="s">
        <v>125</v>
      </c>
      <c r="E10" s="9"/>
      <c r="F10" s="313"/>
      <c r="G10" s="289">
        <f>C9</f>
        <v>34</v>
      </c>
      <c r="H10" s="290" t="s">
        <v>203</v>
      </c>
      <c r="I10" s="291">
        <f>F9+C10+(C3*B2)+(B7*C6)+(B8*F6)+(C2-B11)</f>
        <v>34</v>
      </c>
      <c r="J10" s="25"/>
      <c r="K10" s="12"/>
      <c r="L10" s="12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x14ac:dyDescent="0.25">
      <c r="A11" s="36" t="s">
        <v>138</v>
      </c>
      <c r="B11" s="186">
        <v>0</v>
      </c>
      <c r="C11" s="281">
        <f>C5*B2</f>
        <v>4</v>
      </c>
      <c r="D11" s="36" t="s">
        <v>145</v>
      </c>
      <c r="E11" s="36"/>
      <c r="F11" s="36"/>
      <c r="G11" s="11"/>
      <c r="H11" s="11"/>
      <c r="I11" s="11"/>
      <c r="J11" s="11"/>
      <c r="K11" s="11"/>
      <c r="L11" s="12"/>
      <c r="M11" s="12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x14ac:dyDescent="0.25">
      <c r="A12" s="3" t="s">
        <v>0</v>
      </c>
      <c r="B12" s="3" t="s">
        <v>3</v>
      </c>
      <c r="C12" s="3" t="s">
        <v>4</v>
      </c>
      <c r="D12" s="3" t="s">
        <v>5</v>
      </c>
      <c r="E12" s="3" t="s">
        <v>86</v>
      </c>
      <c r="F12" s="3" t="s">
        <v>33</v>
      </c>
      <c r="G12" s="26"/>
      <c r="H12" s="26"/>
      <c r="I12" s="26"/>
      <c r="J12" s="26"/>
      <c r="K12" s="12"/>
      <c r="L12" s="12"/>
      <c r="M12" s="12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x14ac:dyDescent="0.25">
      <c r="A13" s="4" t="s">
        <v>136</v>
      </c>
      <c r="B13" s="5" t="s">
        <v>21</v>
      </c>
      <c r="C13" s="163">
        <v>1100</v>
      </c>
      <c r="D13" s="189">
        <v>0.5</v>
      </c>
      <c r="E13" s="33">
        <f>C13*D13*B9</f>
        <v>55</v>
      </c>
      <c r="F13" s="16">
        <f>E13*$B$2</f>
        <v>2200</v>
      </c>
      <c r="G13" s="25"/>
      <c r="H13" s="25"/>
      <c r="I13" s="25"/>
      <c r="J13" s="25"/>
      <c r="K13" s="12"/>
      <c r="L13" s="12"/>
      <c r="M13" s="12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x14ac:dyDescent="0.25">
      <c r="A14" s="4" t="s">
        <v>1</v>
      </c>
      <c r="B14" s="5" t="s">
        <v>21</v>
      </c>
      <c r="C14" s="163">
        <v>520</v>
      </c>
      <c r="D14" s="189">
        <v>1.3</v>
      </c>
      <c r="E14" s="33">
        <f>C14*D14*(F7/B2)</f>
        <v>219.69999999999996</v>
      </c>
      <c r="F14" s="16">
        <f>E14*$B$2</f>
        <v>8787.9999999999982</v>
      </c>
      <c r="G14" s="25"/>
      <c r="H14" s="25"/>
      <c r="I14" s="25"/>
      <c r="J14" s="25"/>
      <c r="K14" s="2"/>
      <c r="L14" s="12"/>
      <c r="M14" s="12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x14ac:dyDescent="0.25">
      <c r="A15" s="4" t="s">
        <v>2</v>
      </c>
      <c r="B15" s="5" t="s">
        <v>21</v>
      </c>
      <c r="C15" s="163">
        <v>550</v>
      </c>
      <c r="D15" s="189">
        <v>1.5</v>
      </c>
      <c r="E15" s="33">
        <f>C15*D15*(F8/B2)</f>
        <v>350.625</v>
      </c>
      <c r="F15" s="16">
        <f>E15*$B$2</f>
        <v>14025</v>
      </c>
      <c r="G15" s="25"/>
      <c r="H15" s="25"/>
      <c r="I15" s="25"/>
      <c r="J15" s="25"/>
      <c r="K15" s="12"/>
      <c r="L15" s="12"/>
      <c r="M15" s="12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x14ac:dyDescent="0.25">
      <c r="A16" s="6" t="s">
        <v>6</v>
      </c>
      <c r="B16" s="4"/>
      <c r="C16" s="8"/>
      <c r="D16" s="33"/>
      <c r="E16" s="71">
        <f>IF($C$7&gt;=0,SUM(E13:E15),"Error")</f>
        <v>625.32499999999993</v>
      </c>
      <c r="F16" s="17">
        <f>IF($C$7&gt;=0,SUM(F13:F15),"Error")</f>
        <v>25013</v>
      </c>
      <c r="G16" s="25"/>
      <c r="H16" s="25"/>
      <c r="I16" s="25"/>
      <c r="J16" s="25"/>
      <c r="K16" s="12"/>
      <c r="L16" s="12"/>
      <c r="M16" s="12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x14ac:dyDescent="0.25">
      <c r="A17" s="7" t="s">
        <v>7</v>
      </c>
      <c r="B17" s="4"/>
      <c r="C17" s="8"/>
      <c r="D17" s="33"/>
      <c r="E17" s="33"/>
      <c r="F17" s="16"/>
      <c r="G17" s="293"/>
      <c r="H17" s="293"/>
      <c r="I17" s="293"/>
      <c r="J17" s="292"/>
      <c r="K17" s="308"/>
      <c r="L17" s="162"/>
      <c r="M17" s="23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x14ac:dyDescent="0.25">
      <c r="A18" s="9" t="s">
        <v>109</v>
      </c>
      <c r="B18" s="5" t="s">
        <v>10</v>
      </c>
      <c r="C18" s="189">
        <v>2.25</v>
      </c>
      <c r="D18" s="59">
        <f>Grass!H15</f>
        <v>2.5</v>
      </c>
      <c r="E18" s="33">
        <f>C18*D18</f>
        <v>5.625</v>
      </c>
      <c r="F18" s="16">
        <f t="shared" ref="F18:F31" si="0">E18*$B$2</f>
        <v>225</v>
      </c>
      <c r="G18" s="337" t="s">
        <v>205</v>
      </c>
      <c r="H18" s="337"/>
      <c r="I18" s="337"/>
      <c r="J18" s="294"/>
      <c r="K18" s="294"/>
      <c r="L18" s="295"/>
      <c r="M18" s="12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x14ac:dyDescent="0.25">
      <c r="A19" s="9" t="s">
        <v>110</v>
      </c>
      <c r="B19" s="5" t="s">
        <v>10</v>
      </c>
      <c r="C19" s="189">
        <v>0.75</v>
      </c>
      <c r="D19" s="33">
        <f>Grass!H32</f>
        <v>137.15</v>
      </c>
      <c r="E19" s="33">
        <f>C19*D19</f>
        <v>102.86250000000001</v>
      </c>
      <c r="F19" s="16">
        <f t="shared" si="0"/>
        <v>4114.5</v>
      </c>
      <c r="G19" s="336" t="s">
        <v>206</v>
      </c>
      <c r="H19" s="336"/>
      <c r="I19" s="336"/>
      <c r="J19" s="296"/>
      <c r="K19" s="296"/>
      <c r="L19" s="297"/>
      <c r="M19" s="12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x14ac:dyDescent="0.25">
      <c r="A20" s="9" t="s">
        <v>157</v>
      </c>
      <c r="B20" s="5" t="s">
        <v>9</v>
      </c>
      <c r="C20" s="189">
        <v>0</v>
      </c>
      <c r="D20" s="189">
        <v>60</v>
      </c>
      <c r="E20" s="33">
        <f>C20*D20</f>
        <v>0</v>
      </c>
      <c r="F20" s="16">
        <f t="shared" si="0"/>
        <v>0</v>
      </c>
      <c r="G20" s="302"/>
      <c r="H20" s="297"/>
      <c r="I20" s="297"/>
      <c r="J20" s="297"/>
      <c r="K20" s="297"/>
      <c r="L20" s="297"/>
      <c r="M20" s="23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x14ac:dyDescent="0.25">
      <c r="A21" s="9" t="s">
        <v>29</v>
      </c>
      <c r="B21" s="5" t="s">
        <v>21</v>
      </c>
      <c r="C21" s="33">
        <f>Feed!G8</f>
        <v>495</v>
      </c>
      <c r="D21" s="72">
        <f>Feed!C8</f>
        <v>9.5000000000000001E-2</v>
      </c>
      <c r="E21" s="33">
        <f t="shared" ref="E21" si="1">C21*D21</f>
        <v>47.024999999999999</v>
      </c>
      <c r="F21" s="16">
        <f t="shared" si="0"/>
        <v>1881</v>
      </c>
      <c r="G21" s="336" t="s">
        <v>207</v>
      </c>
      <c r="H21" s="336"/>
      <c r="I21" s="336"/>
      <c r="J21" s="336"/>
      <c r="K21" s="336"/>
      <c r="L21" s="336"/>
      <c r="M21" s="12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x14ac:dyDescent="0.25">
      <c r="A22" s="9" t="s">
        <v>23</v>
      </c>
      <c r="B22" s="5" t="s">
        <v>21</v>
      </c>
      <c r="C22" s="33">
        <f>IF(C5+C41&gt;0,Feed!G16*(C5/(C5+C41))+Feed!G24*(C41/(C5+C41)),0)</f>
        <v>675</v>
      </c>
      <c r="D22" s="72">
        <f>IF(C5+C41&gt;0,Feed!C16*(C5/(C5+C41))+Feed!C24*(C41/(C5+C41)),0)</f>
        <v>9.5000000000000001E-2</v>
      </c>
      <c r="E22" s="33">
        <f>C22*D22*(C5+C41)</f>
        <v>6.4125000000000005</v>
      </c>
      <c r="F22" s="16">
        <f t="shared" si="0"/>
        <v>256.5</v>
      </c>
      <c r="G22" s="336" t="s">
        <v>208</v>
      </c>
      <c r="H22" s="336"/>
      <c r="I22" s="336"/>
      <c r="J22" s="336"/>
      <c r="K22" s="336"/>
      <c r="L22" s="336"/>
      <c r="M22" s="336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x14ac:dyDescent="0.25">
      <c r="A23" s="9" t="s">
        <v>22</v>
      </c>
      <c r="B23" s="5" t="s">
        <v>21</v>
      </c>
      <c r="C23" s="33">
        <f>Feed!G32</f>
        <v>0</v>
      </c>
      <c r="D23" s="72">
        <f>Feed!C32</f>
        <v>0</v>
      </c>
      <c r="E23" s="33">
        <f>C23*D23*(1/F2)</f>
        <v>0</v>
      </c>
      <c r="F23" s="16">
        <f t="shared" si="0"/>
        <v>0</v>
      </c>
      <c r="G23" s="336" t="s">
        <v>209</v>
      </c>
      <c r="H23" s="336"/>
      <c r="I23" s="336"/>
      <c r="J23" s="336"/>
      <c r="K23" s="336"/>
      <c r="L23" s="336"/>
      <c r="M23" s="12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x14ac:dyDescent="0.25">
      <c r="A24" s="9" t="s">
        <v>27</v>
      </c>
      <c r="B24" s="5" t="s">
        <v>21</v>
      </c>
      <c r="C24" s="33">
        <f>Feed!G40</f>
        <v>0</v>
      </c>
      <c r="D24" s="72">
        <f>Feed!C40</f>
        <v>0</v>
      </c>
      <c r="E24" s="33">
        <f>C24*D24*(F9/B2)</f>
        <v>0</v>
      </c>
      <c r="F24" s="16">
        <f t="shared" si="0"/>
        <v>0</v>
      </c>
      <c r="G24" s="336" t="s">
        <v>210</v>
      </c>
      <c r="H24" s="336"/>
      <c r="I24" s="336"/>
      <c r="J24" s="336"/>
      <c r="K24" s="336"/>
      <c r="L24" s="336"/>
      <c r="M24" s="12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x14ac:dyDescent="0.25">
      <c r="A25" s="9" t="s">
        <v>24</v>
      </c>
      <c r="B25" s="5" t="s">
        <v>21</v>
      </c>
      <c r="C25" s="189">
        <v>90</v>
      </c>
      <c r="D25" s="190">
        <v>0.42</v>
      </c>
      <c r="E25" s="33">
        <f t="shared" ref="E25:E29" si="2">C25*D25</f>
        <v>37.799999999999997</v>
      </c>
      <c r="F25" s="16">
        <f t="shared" si="0"/>
        <v>1512</v>
      </c>
      <c r="G25" s="162"/>
      <c r="H25" s="234"/>
      <c r="I25" s="234"/>
      <c r="J25" s="234"/>
      <c r="K25" s="234"/>
      <c r="L25" s="234"/>
      <c r="M25" s="234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x14ac:dyDescent="0.25">
      <c r="A26" s="9" t="s">
        <v>30</v>
      </c>
      <c r="B26" s="5" t="s">
        <v>11</v>
      </c>
      <c r="C26" s="33">
        <v>1</v>
      </c>
      <c r="D26" s="33">
        <f>Vet!G12</f>
        <v>27.5</v>
      </c>
      <c r="E26" s="33">
        <f>C26*D26</f>
        <v>27.5</v>
      </c>
      <c r="F26" s="16">
        <f t="shared" si="0"/>
        <v>1100</v>
      </c>
      <c r="G26" s="336" t="s">
        <v>211</v>
      </c>
      <c r="H26" s="336"/>
      <c r="I26" s="336"/>
      <c r="J26" s="336"/>
      <c r="K26" s="336"/>
      <c r="L26" s="336"/>
      <c r="M26" s="12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x14ac:dyDescent="0.25">
      <c r="A27" s="9" t="s">
        <v>25</v>
      </c>
      <c r="B27" s="5" t="s">
        <v>11</v>
      </c>
      <c r="C27" s="33">
        <f>C5+C41</f>
        <v>0.1</v>
      </c>
      <c r="D27" s="33">
        <f>IF(C5+C41&gt;0,Vet!G23*(C5/(C5+C41))+Vet!G34*(C41/(C5+C41)),0)</f>
        <v>10</v>
      </c>
      <c r="E27" s="33">
        <f t="shared" si="2"/>
        <v>1</v>
      </c>
      <c r="F27" s="16">
        <f t="shared" si="0"/>
        <v>40</v>
      </c>
      <c r="G27" s="336" t="s">
        <v>212</v>
      </c>
      <c r="H27" s="336"/>
      <c r="I27" s="336"/>
      <c r="J27" s="336"/>
      <c r="K27" s="336"/>
      <c r="L27" s="336"/>
      <c r="M27" s="12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x14ac:dyDescent="0.25">
      <c r="A28" s="9" t="s">
        <v>26</v>
      </c>
      <c r="B28" s="5" t="s">
        <v>11</v>
      </c>
      <c r="C28" s="33">
        <f>1/F2</f>
        <v>0.05</v>
      </c>
      <c r="D28" s="33">
        <f>Vet!G45</f>
        <v>99</v>
      </c>
      <c r="E28" s="33">
        <f t="shared" si="2"/>
        <v>4.95</v>
      </c>
      <c r="F28" s="16">
        <f t="shared" si="0"/>
        <v>198</v>
      </c>
      <c r="G28" s="336" t="s">
        <v>213</v>
      </c>
      <c r="H28" s="336"/>
      <c r="I28" s="336"/>
      <c r="J28" s="336"/>
      <c r="K28" s="336"/>
      <c r="L28" s="336"/>
      <c r="M28" s="12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x14ac:dyDescent="0.25">
      <c r="A29" s="9" t="s">
        <v>28</v>
      </c>
      <c r="B29" s="5" t="s">
        <v>11</v>
      </c>
      <c r="C29" s="33">
        <f>F9/B2</f>
        <v>0.75</v>
      </c>
      <c r="D29" s="33">
        <f>Vet!G56</f>
        <v>11.208333333333332</v>
      </c>
      <c r="E29" s="33">
        <f t="shared" si="2"/>
        <v>8.40625</v>
      </c>
      <c r="F29" s="16">
        <f t="shared" si="0"/>
        <v>336.25</v>
      </c>
      <c r="G29" s="336" t="s">
        <v>214</v>
      </c>
      <c r="H29" s="336"/>
      <c r="I29" s="336"/>
      <c r="J29" s="336"/>
      <c r="K29" s="336"/>
      <c r="L29" s="336"/>
      <c r="M29" s="12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x14ac:dyDescent="0.25">
      <c r="A30" s="9" t="s">
        <v>31</v>
      </c>
      <c r="B30" s="5" t="s">
        <v>11</v>
      </c>
      <c r="C30" s="33">
        <v>1</v>
      </c>
      <c r="D30" s="189">
        <v>0</v>
      </c>
      <c r="E30" s="33">
        <f>C30*D30</f>
        <v>0</v>
      </c>
      <c r="F30" s="16">
        <f t="shared" si="0"/>
        <v>0</v>
      </c>
      <c r="G30" s="335"/>
      <c r="H30" s="335"/>
      <c r="I30" s="335"/>
      <c r="J30" s="335"/>
      <c r="K30" s="335"/>
      <c r="L30" s="335"/>
      <c r="M30" s="12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x14ac:dyDescent="0.25">
      <c r="A31" s="9" t="s">
        <v>202</v>
      </c>
      <c r="B31" s="5" t="s">
        <v>12</v>
      </c>
      <c r="C31" s="189">
        <f>0/40</f>
        <v>0</v>
      </c>
      <c r="D31" s="189">
        <v>13.4</v>
      </c>
      <c r="E31" s="33">
        <f>C31*D31</f>
        <v>0</v>
      </c>
      <c r="F31" s="16">
        <f t="shared" si="0"/>
        <v>0</v>
      </c>
      <c r="G31" s="335"/>
      <c r="H31" s="335"/>
      <c r="I31" s="335"/>
      <c r="J31" s="335"/>
      <c r="K31" s="335"/>
      <c r="L31" s="335"/>
      <c r="M31" s="12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x14ac:dyDescent="0.25">
      <c r="A32" s="10" t="s">
        <v>35</v>
      </c>
      <c r="B32" s="28"/>
      <c r="C32" s="71"/>
      <c r="D32" s="71"/>
      <c r="E32" s="71">
        <f>SUM(E18:E31)</f>
        <v>241.58125000000001</v>
      </c>
      <c r="F32" s="17">
        <f>SUM(F18:F31)</f>
        <v>9663.25</v>
      </c>
      <c r="G32" s="335"/>
      <c r="H32" s="335"/>
      <c r="I32" s="335"/>
      <c r="J32" s="335"/>
      <c r="K32" s="335"/>
      <c r="L32" s="335"/>
      <c r="M32" s="12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x14ac:dyDescent="0.25">
      <c r="A33" s="9" t="s">
        <v>232</v>
      </c>
      <c r="B33" s="320">
        <v>6</v>
      </c>
      <c r="C33" s="33">
        <f>SUM(E18:E31)</f>
        <v>241.58125000000001</v>
      </c>
      <c r="D33" s="169">
        <v>5.5E-2</v>
      </c>
      <c r="E33" s="33">
        <f>C33*(D33*(B33/12))</f>
        <v>6.6434843750000008</v>
      </c>
      <c r="F33" s="16">
        <f>E33*$B$2</f>
        <v>265.73937500000005</v>
      </c>
      <c r="G33" s="335"/>
      <c r="H33" s="335"/>
      <c r="I33" s="335"/>
      <c r="J33" s="335"/>
      <c r="K33" s="335"/>
      <c r="L33" s="335"/>
      <c r="M33" s="12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x14ac:dyDescent="0.25">
      <c r="A34" s="9" t="s">
        <v>32</v>
      </c>
      <c r="B34" s="5" t="s">
        <v>11</v>
      </c>
      <c r="C34" s="33">
        <f>(F9/B2)+B9</f>
        <v>0.85</v>
      </c>
      <c r="D34" s="33">
        <f>Auction!E11</f>
        <v>37.427058823529407</v>
      </c>
      <c r="E34" s="33">
        <f>C34*D34</f>
        <v>31.812999999999995</v>
      </c>
      <c r="F34" s="16">
        <f>E34*$B$2</f>
        <v>1272.5199999999998</v>
      </c>
      <c r="G34" s="336" t="s">
        <v>215</v>
      </c>
      <c r="H34" s="336"/>
      <c r="I34" s="336"/>
      <c r="J34" s="336"/>
      <c r="K34" s="336"/>
      <c r="L34" s="336"/>
      <c r="M34" s="12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x14ac:dyDescent="0.25">
      <c r="A35" s="9" t="s">
        <v>14</v>
      </c>
      <c r="B35" s="5" t="s">
        <v>10</v>
      </c>
      <c r="C35" s="189">
        <v>0</v>
      </c>
      <c r="D35" s="189">
        <v>0</v>
      </c>
      <c r="E35" s="33">
        <f t="shared" ref="E35" si="3">C35*D35</f>
        <v>0</v>
      </c>
      <c r="F35" s="16">
        <f>E35*$B$2</f>
        <v>0</v>
      </c>
      <c r="G35" s="335"/>
      <c r="H35" s="335"/>
      <c r="I35" s="335"/>
      <c r="J35" s="335"/>
      <c r="K35" s="335"/>
      <c r="L35" s="335"/>
      <c r="M35" s="12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x14ac:dyDescent="0.25">
      <c r="A36" s="10" t="s">
        <v>8</v>
      </c>
      <c r="B36" s="4"/>
      <c r="C36" s="33"/>
      <c r="D36" s="8"/>
      <c r="E36" s="71">
        <f>SUM(E32:E35)</f>
        <v>280.03773437500001</v>
      </c>
      <c r="F36" s="17">
        <f>SUM(F32:F35)</f>
        <v>11201.509375</v>
      </c>
      <c r="G36" s="335"/>
      <c r="H36" s="335"/>
      <c r="I36" s="335"/>
      <c r="J36" s="335"/>
      <c r="K36" s="335"/>
      <c r="L36" s="335"/>
      <c r="M36" s="12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x14ac:dyDescent="0.25">
      <c r="A37" s="10" t="s">
        <v>17</v>
      </c>
      <c r="B37" s="4"/>
      <c r="C37" s="33"/>
      <c r="D37" s="8"/>
      <c r="E37" s="71">
        <f>E16-E36</f>
        <v>345.28726562499992</v>
      </c>
      <c r="F37" s="17">
        <f>F16-F36</f>
        <v>13811.490625</v>
      </c>
      <c r="G37" s="335"/>
      <c r="H37" s="335"/>
      <c r="I37" s="335"/>
      <c r="J37" s="335"/>
      <c r="K37" s="335"/>
      <c r="L37" s="335"/>
      <c r="M37" s="12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x14ac:dyDescent="0.25">
      <c r="A38" s="5" t="s">
        <v>13</v>
      </c>
      <c r="B38" s="4"/>
      <c r="C38" s="33"/>
      <c r="D38" s="33"/>
      <c r="E38" s="33"/>
      <c r="F38" s="16"/>
      <c r="G38" s="292"/>
      <c r="H38" s="292"/>
      <c r="I38" s="293"/>
      <c r="J38" s="293"/>
      <c r="K38" s="293"/>
      <c r="L38" s="293"/>
      <c r="M38" s="234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x14ac:dyDescent="0.25">
      <c r="A39" s="23" t="s">
        <v>151</v>
      </c>
      <c r="B39" s="5" t="s">
        <v>11</v>
      </c>
      <c r="C39" s="33">
        <v>1</v>
      </c>
      <c r="D39" s="33">
        <f>SUM(Buildings_Equipment!H25:H36)/B2</f>
        <v>1058.0942406249999</v>
      </c>
      <c r="E39" s="33">
        <f>SUM(Buildings_Equipment!V25:V36)</f>
        <v>211.37272404035443</v>
      </c>
      <c r="F39" s="16">
        <f>E39*$B$2</f>
        <v>8454.9089616141773</v>
      </c>
      <c r="G39" s="340" t="s">
        <v>217</v>
      </c>
      <c r="H39" s="340"/>
      <c r="I39" s="340"/>
      <c r="J39" s="340"/>
      <c r="K39" s="340"/>
      <c r="L39" s="340"/>
      <c r="M39" s="12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x14ac:dyDescent="0.25">
      <c r="A40" s="4" t="s">
        <v>95</v>
      </c>
      <c r="B40" s="5" t="s">
        <v>11</v>
      </c>
      <c r="C40" s="33">
        <v>1</v>
      </c>
      <c r="D40" s="33">
        <f>((Purchased_Stock!B4*Purchased_Stock!C4*B2)+Purchased_Stock!B6*Purchased_Stock!C6*B3)/B2</f>
        <v>175</v>
      </c>
      <c r="E40" s="33">
        <f>(Purchased_Stock!F4+Purchased_Stock!H4)+((Purchased_Stock!F6+Purchased_Stock!H6)*(1/F2))</f>
        <v>34.902125000000005</v>
      </c>
      <c r="F40" s="16">
        <f>E40*$B$2</f>
        <v>1396.0850000000003</v>
      </c>
      <c r="G40" s="336" t="s">
        <v>221</v>
      </c>
      <c r="H40" s="336"/>
      <c r="I40" s="336"/>
      <c r="J40" s="336"/>
      <c r="K40" s="336"/>
      <c r="L40" s="336"/>
      <c r="M40" s="12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x14ac:dyDescent="0.25">
      <c r="A41" s="9" t="s">
        <v>137</v>
      </c>
      <c r="B41" s="5" t="s">
        <v>11</v>
      </c>
      <c r="C41" s="33">
        <f>B11/B2</f>
        <v>0</v>
      </c>
      <c r="D41" s="189">
        <v>1100</v>
      </c>
      <c r="E41" s="33">
        <f t="shared" ref="E41" si="4">C41*D41</f>
        <v>0</v>
      </c>
      <c r="F41" s="16">
        <f>E41*B2</f>
        <v>0</v>
      </c>
      <c r="G41" s="339"/>
      <c r="H41" s="339"/>
      <c r="I41" s="339"/>
      <c r="J41" s="339"/>
      <c r="K41" s="339"/>
      <c r="L41" s="339"/>
      <c r="M41" s="12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x14ac:dyDescent="0.25">
      <c r="A42" s="6" t="s">
        <v>231</v>
      </c>
      <c r="B42" s="5"/>
      <c r="C42" s="33"/>
      <c r="D42" s="33"/>
      <c r="E42" s="71">
        <f>E16-E36-SUM(E39:E41)</f>
        <v>99.012416584645479</v>
      </c>
      <c r="F42" s="71">
        <f>F16-F36-SUM(F39:F41)</f>
        <v>3960.4966633858221</v>
      </c>
      <c r="G42" s="315"/>
      <c r="H42" s="315"/>
      <c r="I42" s="315"/>
      <c r="J42" s="315"/>
      <c r="K42" s="315"/>
      <c r="L42" s="315"/>
      <c r="M42" s="315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x14ac:dyDescent="0.25">
      <c r="A43" s="4" t="s">
        <v>233</v>
      </c>
      <c r="B43" s="5" t="s">
        <v>11</v>
      </c>
      <c r="C43" s="33">
        <v>1</v>
      </c>
      <c r="D43" s="33">
        <f>SUM(Buildings_Equipment!H7:H15)/B2</f>
        <v>729.44837459996711</v>
      </c>
      <c r="E43" s="33">
        <f>SUM(Buildings_Equipment!V7:V15)</f>
        <v>130.95115573947825</v>
      </c>
      <c r="F43" s="16">
        <f>E43*$B$2</f>
        <v>5238.0462295791303</v>
      </c>
      <c r="G43" s="340" t="s">
        <v>216</v>
      </c>
      <c r="H43" s="340"/>
      <c r="I43" s="340"/>
      <c r="J43" s="340"/>
      <c r="K43" s="340"/>
      <c r="L43" s="340"/>
      <c r="M43" s="315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x14ac:dyDescent="0.25">
      <c r="A44" s="10" t="s">
        <v>15</v>
      </c>
      <c r="B44" s="4"/>
      <c r="C44" s="33"/>
      <c r="D44" s="33"/>
      <c r="E44" s="71">
        <f>SUM(E39:E41)+E43</f>
        <v>377.22600477983269</v>
      </c>
      <c r="F44" s="17">
        <f>SUM(F39:F41)+F43</f>
        <v>15089.040191193308</v>
      </c>
      <c r="G44" s="339"/>
      <c r="H44" s="339"/>
      <c r="I44" s="339"/>
      <c r="J44" s="339"/>
      <c r="K44" s="339"/>
      <c r="L44" s="339"/>
      <c r="M44" s="12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x14ac:dyDescent="0.25">
      <c r="A45" s="6" t="s">
        <v>16</v>
      </c>
      <c r="B45" s="4"/>
      <c r="C45" s="33"/>
      <c r="D45" s="33"/>
      <c r="E45" s="71">
        <f>E36+E44</f>
        <v>657.26373915483271</v>
      </c>
      <c r="F45" s="17">
        <f>F36+F44</f>
        <v>26290.549566193309</v>
      </c>
      <c r="G45" s="339"/>
      <c r="H45" s="339"/>
      <c r="I45" s="339"/>
      <c r="J45" s="339"/>
      <c r="K45" s="339"/>
      <c r="L45" s="339"/>
      <c r="M45" s="12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x14ac:dyDescent="0.25">
      <c r="A46" s="6" t="s">
        <v>230</v>
      </c>
      <c r="B46" s="6"/>
      <c r="C46" s="71"/>
      <c r="D46" s="71"/>
      <c r="E46" s="71">
        <f>E16-E45</f>
        <v>-31.938739154832774</v>
      </c>
      <c r="F46" s="17">
        <f>F16-F45</f>
        <v>-1277.5495661933091</v>
      </c>
      <c r="G46" s="339"/>
      <c r="H46" s="339"/>
      <c r="I46" s="339"/>
      <c r="J46" s="339"/>
      <c r="K46" s="339"/>
      <c r="L46" s="339"/>
      <c r="M46" s="12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x14ac:dyDescent="0.25">
      <c r="A47" s="18"/>
      <c r="B47" s="18"/>
      <c r="C47" s="19"/>
      <c r="D47" s="19"/>
      <c r="E47" s="14"/>
      <c r="F47" s="19"/>
      <c r="G47" s="12"/>
      <c r="H47" s="12"/>
      <c r="I47" s="12"/>
      <c r="J47" s="12"/>
      <c r="K47" s="12"/>
      <c r="L47" s="12"/>
      <c r="M47" s="12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26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45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47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47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46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46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46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46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46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46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46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46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46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</sheetData>
  <sheetProtection sheet="1" objects="1" scenarios="1" selectLockedCells="1"/>
  <mergeCells count="29">
    <mergeCell ref="A1:F1"/>
    <mergeCell ref="G46:L46"/>
    <mergeCell ref="G43:L43"/>
    <mergeCell ref="G39:L39"/>
    <mergeCell ref="G40:L40"/>
    <mergeCell ref="G41:L41"/>
    <mergeCell ref="G44:L44"/>
    <mergeCell ref="G45:L45"/>
    <mergeCell ref="G37:L37"/>
    <mergeCell ref="G26:L26"/>
    <mergeCell ref="G27:L27"/>
    <mergeCell ref="G28:L28"/>
    <mergeCell ref="G29:L29"/>
    <mergeCell ref="D3:F3"/>
    <mergeCell ref="D4:F4"/>
    <mergeCell ref="D5:F5"/>
    <mergeCell ref="G35:L35"/>
    <mergeCell ref="G36:L36"/>
    <mergeCell ref="G24:L24"/>
    <mergeCell ref="G18:I18"/>
    <mergeCell ref="G19:I19"/>
    <mergeCell ref="G21:L21"/>
    <mergeCell ref="G22:M22"/>
    <mergeCell ref="G23:L23"/>
    <mergeCell ref="G30:L30"/>
    <mergeCell ref="G31:L31"/>
    <mergeCell ref="G32:L32"/>
    <mergeCell ref="G33:L33"/>
    <mergeCell ref="G34:L34"/>
  </mergeCells>
  <hyperlinks>
    <hyperlink ref="G18" location="Grass!A7" display="Goto Pasture Worksheet"/>
    <hyperlink ref="G40" location="Purchased_Cattle!A3" display="Goto Purchased Cattle Worksheet"/>
    <hyperlink ref="G39" location="Buildings_Equipment!A25" display="Goto Machinery Worksheet"/>
    <hyperlink ref="G43" location="Buildings_Equipment!C7" display="Goto Buildings Worksheet"/>
    <hyperlink ref="G34" location="Auction!A5" display="Goto Auction Worksheet"/>
    <hyperlink ref="G29" location="Vet!A48" display="Goto Medicine Worksheet, Calves Sold"/>
    <hyperlink ref="G28" location="Vet!A37" display="Goto Medicine Worksheet, Bulls"/>
    <hyperlink ref="G27" location="Vet!A15" display="Goto Medicine Worksheet, Replacement Heifers"/>
    <hyperlink ref="G26" location="Vet!A4" display="Goto Medicine Worksheet, Cows"/>
    <hyperlink ref="G21" location="Feed!A4" display="Goto Supplemental Feed Worksheet, Cows"/>
    <hyperlink ref="G19" location="Grass!B20" display="Goto Hay Worksheet"/>
    <hyperlink ref="G22" location="Feed!A12" display="Goto Supplemental Feed Worksheet, Replacement Heifers"/>
    <hyperlink ref="G23" location="Feed!A28" display="Goto Supplemental Feed Worksheet, Bulls"/>
    <hyperlink ref="G24" location="Feed!A36" display="Goto Supplemental Feed Worksheet, Calves Sold"/>
    <hyperlink ref="G40:L40" location="Purchased_Stock!A1" display="Goto Purchased Stock Worksheet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5"/>
  <sheetViews>
    <sheetView topLeftCell="A8" zoomScaleNormal="100" workbookViewId="0">
      <selection activeCell="A4" sqref="A4"/>
    </sheetView>
  </sheetViews>
  <sheetFormatPr defaultRowHeight="15" x14ac:dyDescent="0.25"/>
  <cols>
    <col min="1" max="1" width="28.28515625" customWidth="1"/>
    <col min="2" max="2" width="5.28515625" customWidth="1"/>
    <col min="3" max="3" width="8.7109375" customWidth="1"/>
    <col min="4" max="4" width="7.7109375" customWidth="1"/>
    <col min="5" max="5" width="8.28515625" customWidth="1"/>
    <col min="6" max="6" width="11" customWidth="1"/>
    <col min="7" max="7" width="11.85546875" customWidth="1"/>
    <col min="8" max="8" width="10.140625" customWidth="1"/>
    <col min="9" max="9" width="24.28515625" bestFit="1" customWidth="1"/>
  </cols>
  <sheetData>
    <row r="1" spans="1:33" ht="15.75" thickBot="1" x14ac:dyDescent="0.3">
      <c r="A1" s="115"/>
      <c r="B1" s="115"/>
      <c r="C1" s="115"/>
      <c r="D1" s="115"/>
      <c r="E1" s="115"/>
      <c r="F1" s="115"/>
      <c r="G1" s="115"/>
      <c r="H1" s="115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</row>
    <row r="2" spans="1:33" x14ac:dyDescent="0.25">
      <c r="A2" s="343" t="s">
        <v>29</v>
      </c>
      <c r="B2" s="344"/>
      <c r="C2" s="344"/>
      <c r="D2" s="344"/>
      <c r="E2" s="344"/>
      <c r="F2" s="344"/>
      <c r="G2" s="344"/>
      <c r="H2" s="345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33" ht="45" x14ac:dyDescent="0.25">
      <c r="A3" s="86"/>
      <c r="B3" s="87" t="s">
        <v>3</v>
      </c>
      <c r="C3" s="87" t="s">
        <v>51</v>
      </c>
      <c r="D3" s="88" t="s">
        <v>115</v>
      </c>
      <c r="E3" s="87" t="s">
        <v>48</v>
      </c>
      <c r="F3" s="88" t="s">
        <v>49</v>
      </c>
      <c r="G3" s="88" t="s">
        <v>50</v>
      </c>
      <c r="H3" s="89" t="s">
        <v>52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</row>
    <row r="4" spans="1:33" x14ac:dyDescent="0.25">
      <c r="A4" s="191" t="s">
        <v>54</v>
      </c>
      <c r="B4" s="192" t="s">
        <v>53</v>
      </c>
      <c r="C4" s="193">
        <v>190</v>
      </c>
      <c r="D4" s="194">
        <v>2000</v>
      </c>
      <c r="E4" s="192">
        <v>90</v>
      </c>
      <c r="F4" s="195">
        <v>5.5</v>
      </c>
      <c r="G4" s="141">
        <f>F4*E4</f>
        <v>495</v>
      </c>
      <c r="H4" s="143">
        <f t="shared" ref="H4:H7" si="0">IF(G4&gt;0,G4*(C4/D4),0)</f>
        <v>47.024999999999999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3" x14ac:dyDescent="0.25">
      <c r="A5" s="196"/>
      <c r="B5" s="197"/>
      <c r="C5" s="198">
        <v>0</v>
      </c>
      <c r="D5" s="199"/>
      <c r="E5" s="197"/>
      <c r="F5" s="200">
        <v>0</v>
      </c>
      <c r="G5" s="141">
        <f t="shared" ref="G5:G7" si="1">F5*E5</f>
        <v>0</v>
      </c>
      <c r="H5" s="143">
        <f t="shared" si="0"/>
        <v>0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</row>
    <row r="6" spans="1:33" x14ac:dyDescent="0.25">
      <c r="A6" s="196"/>
      <c r="B6" s="197"/>
      <c r="C6" s="198">
        <v>0</v>
      </c>
      <c r="D6" s="199"/>
      <c r="E6" s="200"/>
      <c r="F6" s="200">
        <v>0</v>
      </c>
      <c r="G6" s="141">
        <f t="shared" si="1"/>
        <v>0</v>
      </c>
      <c r="H6" s="143">
        <f t="shared" si="0"/>
        <v>0</v>
      </c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x14ac:dyDescent="0.25">
      <c r="A7" s="196"/>
      <c r="B7" s="197"/>
      <c r="C7" s="198">
        <v>0</v>
      </c>
      <c r="D7" s="199"/>
      <c r="E7" s="200"/>
      <c r="F7" s="200">
        <v>0</v>
      </c>
      <c r="G7" s="141">
        <f t="shared" si="1"/>
        <v>0</v>
      </c>
      <c r="H7" s="143">
        <f t="shared" si="0"/>
        <v>0</v>
      </c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</row>
    <row r="8" spans="1:33" ht="30" customHeight="1" thickBot="1" x14ac:dyDescent="0.3">
      <c r="A8" s="152" t="s">
        <v>174</v>
      </c>
      <c r="B8" s="91"/>
      <c r="C8" s="140">
        <f>IF(G8&gt;0,H8/G8,0)</f>
        <v>9.5000000000000001E-2</v>
      </c>
      <c r="D8" s="153" t="s">
        <v>179</v>
      </c>
      <c r="E8" s="92"/>
      <c r="F8" s="92"/>
      <c r="G8" s="142">
        <f>SUM(G4:G7)</f>
        <v>495</v>
      </c>
      <c r="H8" s="144">
        <f>SUM(H4:H7)</f>
        <v>47.024999999999999</v>
      </c>
      <c r="I8" s="299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</row>
    <row r="9" spans="1:33" ht="15.75" thickBot="1" x14ac:dyDescent="0.3">
      <c r="A9" s="93"/>
      <c r="B9" s="93"/>
      <c r="C9" s="93"/>
      <c r="D9" s="93"/>
      <c r="E9" s="93"/>
      <c r="F9" s="93"/>
      <c r="G9" s="94"/>
      <c r="H9" s="95"/>
      <c r="I9" s="298" t="s">
        <v>220</v>
      </c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</row>
    <row r="10" spans="1:33" x14ac:dyDescent="0.25">
      <c r="A10" s="343" t="s">
        <v>148</v>
      </c>
      <c r="B10" s="344"/>
      <c r="C10" s="344"/>
      <c r="D10" s="344"/>
      <c r="E10" s="344"/>
      <c r="F10" s="344"/>
      <c r="G10" s="344"/>
      <c r="H10" s="345"/>
      <c r="I10" s="299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</row>
    <row r="11" spans="1:33" ht="45" x14ac:dyDescent="0.25">
      <c r="A11" s="86"/>
      <c r="B11" s="87" t="s">
        <v>3</v>
      </c>
      <c r="C11" s="87" t="s">
        <v>51</v>
      </c>
      <c r="D11" s="88" t="s">
        <v>115</v>
      </c>
      <c r="E11" s="87" t="s">
        <v>48</v>
      </c>
      <c r="F11" s="88" t="s">
        <v>49</v>
      </c>
      <c r="G11" s="88" t="s">
        <v>50</v>
      </c>
      <c r="H11" s="89" t="s">
        <v>116</v>
      </c>
      <c r="I11" s="299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</row>
    <row r="12" spans="1:33" x14ac:dyDescent="0.25">
      <c r="A12" s="191" t="s">
        <v>54</v>
      </c>
      <c r="B12" s="192" t="s">
        <v>53</v>
      </c>
      <c r="C12" s="201">
        <v>190</v>
      </c>
      <c r="D12" s="194">
        <v>2000</v>
      </c>
      <c r="E12" s="192">
        <v>150</v>
      </c>
      <c r="F12" s="195">
        <v>4.5</v>
      </c>
      <c r="G12" s="141">
        <f t="shared" ref="G12:G15" si="2">F12*E12</f>
        <v>675</v>
      </c>
      <c r="H12" s="143">
        <f t="shared" ref="H12:H15" si="3">IF(G12&gt;0,G12*(C12/D12),0)</f>
        <v>64.125</v>
      </c>
      <c r="I12" s="299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</row>
    <row r="13" spans="1:33" x14ac:dyDescent="0.25">
      <c r="A13" s="196"/>
      <c r="B13" s="197"/>
      <c r="C13" s="202">
        <v>0</v>
      </c>
      <c r="D13" s="199"/>
      <c r="E13" s="197"/>
      <c r="F13" s="200">
        <v>0</v>
      </c>
      <c r="G13" s="141">
        <f t="shared" si="2"/>
        <v>0</v>
      </c>
      <c r="H13" s="143">
        <f t="shared" si="3"/>
        <v>0</v>
      </c>
      <c r="I13" s="299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</row>
    <row r="14" spans="1:33" x14ac:dyDescent="0.25">
      <c r="A14" s="196"/>
      <c r="B14" s="197"/>
      <c r="C14" s="202">
        <v>0</v>
      </c>
      <c r="D14" s="199"/>
      <c r="E14" s="197"/>
      <c r="F14" s="200">
        <v>0</v>
      </c>
      <c r="G14" s="141">
        <f t="shared" si="2"/>
        <v>0</v>
      </c>
      <c r="H14" s="143">
        <f t="shared" si="3"/>
        <v>0</v>
      </c>
      <c r="I14" s="299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</row>
    <row r="15" spans="1:33" x14ac:dyDescent="0.25">
      <c r="A15" s="196"/>
      <c r="B15" s="197"/>
      <c r="C15" s="202">
        <v>0</v>
      </c>
      <c r="D15" s="199"/>
      <c r="E15" s="197"/>
      <c r="F15" s="200">
        <v>0</v>
      </c>
      <c r="G15" s="141">
        <f t="shared" si="2"/>
        <v>0</v>
      </c>
      <c r="H15" s="143">
        <f t="shared" si="3"/>
        <v>0</v>
      </c>
      <c r="I15" s="299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</row>
    <row r="16" spans="1:33" ht="30" customHeight="1" thickBot="1" x14ac:dyDescent="0.3">
      <c r="A16" s="90" t="s">
        <v>175</v>
      </c>
      <c r="B16" s="91"/>
      <c r="C16" s="140">
        <f>IF(G16&gt;0,H16/G16,0)</f>
        <v>9.5000000000000001E-2</v>
      </c>
      <c r="D16" s="153" t="s">
        <v>179</v>
      </c>
      <c r="E16" s="92"/>
      <c r="F16" s="92"/>
      <c r="G16" s="142">
        <f>SUM(G12:G15)</f>
        <v>675</v>
      </c>
      <c r="H16" s="144">
        <f>SUM(H12:H15)</f>
        <v>64.125</v>
      </c>
      <c r="I16" s="299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</row>
    <row r="17" spans="1:33" ht="15.75" thickBot="1" x14ac:dyDescent="0.3">
      <c r="A17" s="93"/>
      <c r="B17" s="93"/>
      <c r="C17" s="93"/>
      <c r="D17" s="93"/>
      <c r="E17" s="93"/>
      <c r="F17" s="93"/>
      <c r="G17" s="94"/>
      <c r="H17" s="95"/>
      <c r="I17" s="298" t="s">
        <v>220</v>
      </c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</row>
    <row r="18" spans="1:33" x14ac:dyDescent="0.25">
      <c r="A18" s="343" t="s">
        <v>149</v>
      </c>
      <c r="B18" s="344"/>
      <c r="C18" s="344"/>
      <c r="D18" s="344"/>
      <c r="E18" s="344"/>
      <c r="F18" s="344"/>
      <c r="G18" s="344"/>
      <c r="H18" s="345"/>
      <c r="I18" s="299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</row>
    <row r="19" spans="1:33" ht="45" x14ac:dyDescent="0.25">
      <c r="A19" s="86"/>
      <c r="B19" s="87" t="s">
        <v>3</v>
      </c>
      <c r="C19" s="87" t="s">
        <v>51</v>
      </c>
      <c r="D19" s="88" t="s">
        <v>115</v>
      </c>
      <c r="E19" s="87" t="s">
        <v>48</v>
      </c>
      <c r="F19" s="88" t="s">
        <v>49</v>
      </c>
      <c r="G19" s="88" t="s">
        <v>50</v>
      </c>
      <c r="H19" s="89" t="s">
        <v>116</v>
      </c>
      <c r="I19" s="299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</row>
    <row r="20" spans="1:33" x14ac:dyDescent="0.25">
      <c r="A20" s="191" t="s">
        <v>54</v>
      </c>
      <c r="B20" s="192" t="s">
        <v>53</v>
      </c>
      <c r="C20" s="201">
        <v>190</v>
      </c>
      <c r="D20" s="194">
        <v>2000</v>
      </c>
      <c r="E20" s="192">
        <v>150</v>
      </c>
      <c r="F20" s="195">
        <v>4.5</v>
      </c>
      <c r="G20" s="141">
        <f t="shared" ref="G20:G23" si="4">F20*E20</f>
        <v>675</v>
      </c>
      <c r="H20" s="143">
        <f t="shared" ref="H20:H23" si="5">IF(G20&gt;0,G20*(C20/D20),0)</f>
        <v>64.125</v>
      </c>
      <c r="I20" s="299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</row>
    <row r="21" spans="1:33" x14ac:dyDescent="0.25">
      <c r="A21" s="196"/>
      <c r="B21" s="197"/>
      <c r="C21" s="202">
        <v>0</v>
      </c>
      <c r="D21" s="199"/>
      <c r="E21" s="197"/>
      <c r="F21" s="200">
        <v>0</v>
      </c>
      <c r="G21" s="141">
        <f t="shared" si="4"/>
        <v>0</v>
      </c>
      <c r="H21" s="143">
        <f t="shared" si="5"/>
        <v>0</v>
      </c>
      <c r="I21" s="299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</row>
    <row r="22" spans="1:33" x14ac:dyDescent="0.25">
      <c r="A22" s="196"/>
      <c r="B22" s="197"/>
      <c r="C22" s="202">
        <v>0</v>
      </c>
      <c r="D22" s="199"/>
      <c r="E22" s="197"/>
      <c r="F22" s="200">
        <v>0</v>
      </c>
      <c r="G22" s="141">
        <f t="shared" si="4"/>
        <v>0</v>
      </c>
      <c r="H22" s="143">
        <f t="shared" si="5"/>
        <v>0</v>
      </c>
      <c r="I22" s="299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</row>
    <row r="23" spans="1:33" x14ac:dyDescent="0.25">
      <c r="A23" s="196"/>
      <c r="B23" s="197"/>
      <c r="C23" s="202">
        <v>0</v>
      </c>
      <c r="D23" s="199"/>
      <c r="E23" s="197"/>
      <c r="F23" s="200">
        <v>0</v>
      </c>
      <c r="G23" s="141">
        <f t="shared" si="4"/>
        <v>0</v>
      </c>
      <c r="H23" s="143">
        <f t="shared" si="5"/>
        <v>0</v>
      </c>
      <c r="I23" s="299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</row>
    <row r="24" spans="1:33" ht="45" customHeight="1" thickBot="1" x14ac:dyDescent="0.3">
      <c r="A24" s="90" t="s">
        <v>176</v>
      </c>
      <c r="B24" s="91"/>
      <c r="C24" s="140">
        <f>IF(G24&gt;0,H24/G24,0)</f>
        <v>9.5000000000000001E-2</v>
      </c>
      <c r="D24" s="153" t="s">
        <v>179</v>
      </c>
      <c r="E24" s="92"/>
      <c r="F24" s="92"/>
      <c r="G24" s="142">
        <f>SUM(G20:G23)</f>
        <v>675</v>
      </c>
      <c r="H24" s="144">
        <f>SUM(H20:H23)</f>
        <v>64.125</v>
      </c>
      <c r="I24" s="299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</row>
    <row r="25" spans="1:33" ht="15.75" thickBot="1" x14ac:dyDescent="0.3">
      <c r="A25" s="12"/>
      <c r="B25" s="12"/>
      <c r="C25" s="12"/>
      <c r="D25" s="12"/>
      <c r="E25" s="12"/>
      <c r="F25" s="12"/>
      <c r="G25" s="12"/>
      <c r="H25" s="12"/>
      <c r="I25" s="298" t="s">
        <v>220</v>
      </c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</row>
    <row r="26" spans="1:33" x14ac:dyDescent="0.25">
      <c r="A26" s="343" t="s">
        <v>55</v>
      </c>
      <c r="B26" s="344"/>
      <c r="C26" s="344"/>
      <c r="D26" s="344"/>
      <c r="E26" s="344"/>
      <c r="F26" s="344"/>
      <c r="G26" s="344"/>
      <c r="H26" s="345"/>
      <c r="I26" s="299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</row>
    <row r="27" spans="1:33" ht="45" x14ac:dyDescent="0.25">
      <c r="A27" s="86"/>
      <c r="B27" s="87" t="s">
        <v>3</v>
      </c>
      <c r="C27" s="87" t="s">
        <v>51</v>
      </c>
      <c r="D27" s="88" t="s">
        <v>115</v>
      </c>
      <c r="E27" s="87" t="s">
        <v>48</v>
      </c>
      <c r="F27" s="88" t="s">
        <v>49</v>
      </c>
      <c r="G27" s="88" t="s">
        <v>50</v>
      </c>
      <c r="H27" s="89" t="s">
        <v>117</v>
      </c>
      <c r="I27" s="299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</row>
    <row r="28" spans="1:33" x14ac:dyDescent="0.25">
      <c r="A28" s="196"/>
      <c r="B28" s="197"/>
      <c r="C28" s="202">
        <v>0</v>
      </c>
      <c r="D28" s="199"/>
      <c r="E28" s="197"/>
      <c r="F28" s="200">
        <v>0</v>
      </c>
      <c r="G28" s="141">
        <f t="shared" ref="G28:G31" si="6">F28*E28</f>
        <v>0</v>
      </c>
      <c r="H28" s="143">
        <f t="shared" ref="H28:H31" si="7">IF(G28&gt;0,G28*(C28/D28),0)</f>
        <v>0</v>
      </c>
      <c r="I28" s="299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</row>
    <row r="29" spans="1:33" x14ac:dyDescent="0.25">
      <c r="A29" s="196"/>
      <c r="B29" s="197"/>
      <c r="C29" s="202">
        <v>0</v>
      </c>
      <c r="D29" s="199"/>
      <c r="E29" s="197"/>
      <c r="F29" s="200">
        <v>0</v>
      </c>
      <c r="G29" s="141">
        <f t="shared" si="6"/>
        <v>0</v>
      </c>
      <c r="H29" s="143">
        <f t="shared" si="7"/>
        <v>0</v>
      </c>
      <c r="I29" s="299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</row>
    <row r="30" spans="1:33" x14ac:dyDescent="0.25">
      <c r="A30" s="196"/>
      <c r="B30" s="197"/>
      <c r="C30" s="202">
        <v>0</v>
      </c>
      <c r="D30" s="199"/>
      <c r="E30" s="197"/>
      <c r="F30" s="200">
        <v>0</v>
      </c>
      <c r="G30" s="141">
        <f t="shared" si="6"/>
        <v>0</v>
      </c>
      <c r="H30" s="143">
        <f t="shared" si="7"/>
        <v>0</v>
      </c>
      <c r="I30" s="299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</row>
    <row r="31" spans="1:33" x14ac:dyDescent="0.25">
      <c r="A31" s="196"/>
      <c r="B31" s="197"/>
      <c r="C31" s="202">
        <v>0</v>
      </c>
      <c r="D31" s="199"/>
      <c r="E31" s="197"/>
      <c r="F31" s="200">
        <v>0</v>
      </c>
      <c r="G31" s="141">
        <f t="shared" si="6"/>
        <v>0</v>
      </c>
      <c r="H31" s="143">
        <f t="shared" si="7"/>
        <v>0</v>
      </c>
      <c r="I31" s="299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</row>
    <row r="32" spans="1:33" ht="30" customHeight="1" thickBot="1" x14ac:dyDescent="0.3">
      <c r="A32" s="152" t="s">
        <v>178</v>
      </c>
      <c r="B32" s="91"/>
      <c r="C32" s="140">
        <f>IF(G32&gt;0,H32/G32,0)</f>
        <v>0</v>
      </c>
      <c r="D32" s="153" t="s">
        <v>179</v>
      </c>
      <c r="E32" s="92"/>
      <c r="F32" s="92"/>
      <c r="G32" s="142">
        <f>SUM(G28:G31)</f>
        <v>0</v>
      </c>
      <c r="H32" s="144">
        <f>SUM(H28:H31)</f>
        <v>0</v>
      </c>
      <c r="I32" s="299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</row>
    <row r="33" spans="1:33" ht="15.75" thickBot="1" x14ac:dyDescent="0.3">
      <c r="A33" s="93"/>
      <c r="B33" s="93"/>
      <c r="C33" s="93"/>
      <c r="D33" s="93"/>
      <c r="E33" s="93"/>
      <c r="F33" s="93"/>
      <c r="G33" s="93"/>
      <c r="H33" s="93"/>
      <c r="I33" s="298" t="s">
        <v>220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</row>
    <row r="34" spans="1:33" x14ac:dyDescent="0.25">
      <c r="A34" s="343" t="s">
        <v>219</v>
      </c>
      <c r="B34" s="344"/>
      <c r="C34" s="344"/>
      <c r="D34" s="344"/>
      <c r="E34" s="344"/>
      <c r="F34" s="344"/>
      <c r="G34" s="344"/>
      <c r="H34" s="345"/>
      <c r="I34" s="299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</row>
    <row r="35" spans="1:33" ht="45" x14ac:dyDescent="0.25">
      <c r="A35" s="86"/>
      <c r="B35" s="87" t="s">
        <v>3</v>
      </c>
      <c r="C35" s="87" t="s">
        <v>51</v>
      </c>
      <c r="D35" s="88" t="s">
        <v>115</v>
      </c>
      <c r="E35" s="87" t="s">
        <v>48</v>
      </c>
      <c r="F35" s="88" t="s">
        <v>49</v>
      </c>
      <c r="G35" s="88" t="s">
        <v>50</v>
      </c>
      <c r="H35" s="89" t="s">
        <v>118</v>
      </c>
      <c r="I35" s="299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</row>
    <row r="36" spans="1:33" x14ac:dyDescent="0.25">
      <c r="A36" s="196"/>
      <c r="B36" s="197"/>
      <c r="C36" s="202">
        <v>0</v>
      </c>
      <c r="D36" s="199"/>
      <c r="E36" s="197"/>
      <c r="F36" s="200">
        <v>0</v>
      </c>
      <c r="G36" s="141">
        <f t="shared" ref="G36:G39" si="8">F36*E36</f>
        <v>0</v>
      </c>
      <c r="H36" s="143">
        <f t="shared" ref="H36:H39" si="9">IF(G36&gt;0,G36*(C36/D36),0)</f>
        <v>0</v>
      </c>
      <c r="I36" s="299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</row>
    <row r="37" spans="1:33" x14ac:dyDescent="0.25">
      <c r="A37" s="196"/>
      <c r="B37" s="197"/>
      <c r="C37" s="202">
        <v>0</v>
      </c>
      <c r="D37" s="199"/>
      <c r="E37" s="197"/>
      <c r="F37" s="200">
        <v>0</v>
      </c>
      <c r="G37" s="141">
        <f t="shared" si="8"/>
        <v>0</v>
      </c>
      <c r="H37" s="143">
        <f t="shared" si="9"/>
        <v>0</v>
      </c>
      <c r="I37" s="299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</row>
    <row r="38" spans="1:33" x14ac:dyDescent="0.25">
      <c r="A38" s="196"/>
      <c r="B38" s="197"/>
      <c r="C38" s="202">
        <v>0</v>
      </c>
      <c r="D38" s="199"/>
      <c r="E38" s="197"/>
      <c r="F38" s="200">
        <v>0</v>
      </c>
      <c r="G38" s="141">
        <f t="shared" si="8"/>
        <v>0</v>
      </c>
      <c r="H38" s="143">
        <f t="shared" si="9"/>
        <v>0</v>
      </c>
      <c r="I38" s="299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</row>
    <row r="39" spans="1:33" x14ac:dyDescent="0.25">
      <c r="A39" s="196"/>
      <c r="B39" s="197"/>
      <c r="C39" s="202">
        <v>0</v>
      </c>
      <c r="D39" s="199"/>
      <c r="E39" s="197"/>
      <c r="F39" s="200">
        <v>0</v>
      </c>
      <c r="G39" s="141">
        <f t="shared" si="8"/>
        <v>0</v>
      </c>
      <c r="H39" s="143">
        <f t="shared" si="9"/>
        <v>0</v>
      </c>
      <c r="I39" s="299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</row>
    <row r="40" spans="1:33" ht="30" customHeight="1" thickBot="1" x14ac:dyDescent="0.3">
      <c r="A40" s="152" t="s">
        <v>177</v>
      </c>
      <c r="B40" s="91"/>
      <c r="C40" s="140">
        <f>IF(G40&gt;0,H40/G40,0)</f>
        <v>0</v>
      </c>
      <c r="D40" s="153" t="s">
        <v>179</v>
      </c>
      <c r="E40" s="92"/>
      <c r="F40" s="92"/>
      <c r="G40" s="142">
        <f>SUM(G36:G39)</f>
        <v>0</v>
      </c>
      <c r="H40" s="144">
        <f>SUM(H36:H39)</f>
        <v>0</v>
      </c>
      <c r="I40" s="299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</row>
    <row r="41" spans="1:33" x14ac:dyDescent="0.25">
      <c r="A41" s="11"/>
      <c r="B41" s="11"/>
      <c r="C41" s="11"/>
      <c r="D41" s="11"/>
      <c r="E41" s="11"/>
      <c r="F41" s="11"/>
      <c r="G41" s="11"/>
      <c r="H41" s="11"/>
      <c r="I41" s="298" t="s">
        <v>220</v>
      </c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</row>
    <row r="42" spans="1:33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</row>
    <row r="43" spans="1:33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</row>
    <row r="44" spans="1:33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</row>
    <row r="45" spans="1:33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</row>
    <row r="46" spans="1:33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</row>
    <row r="47" spans="1:33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</row>
    <row r="48" spans="1:33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</row>
    <row r="49" spans="1:33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</row>
    <row r="50" spans="1:33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</row>
    <row r="51" spans="1:33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</row>
    <row r="52" spans="1:33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</row>
    <row r="53" spans="1:33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</row>
    <row r="54" spans="1:33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</row>
    <row r="55" spans="1:33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</row>
    <row r="56" spans="1:33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</row>
    <row r="57" spans="1:33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</row>
    <row r="58" spans="1:33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</row>
    <row r="59" spans="1:33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</row>
    <row r="60" spans="1:33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</row>
    <row r="61" spans="1:33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</row>
    <row r="62" spans="1:33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</row>
    <row r="63" spans="1:33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</row>
    <row r="64" spans="1:33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</row>
    <row r="65" spans="1:33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</row>
  </sheetData>
  <sheetProtection sheet="1" objects="1" scenarios="1" selectLockedCells="1"/>
  <mergeCells count="5">
    <mergeCell ref="A2:H2"/>
    <mergeCell ref="A10:H10"/>
    <mergeCell ref="A26:H26"/>
    <mergeCell ref="A34:H34"/>
    <mergeCell ref="A18:H18"/>
  </mergeCells>
  <hyperlinks>
    <hyperlink ref="I9" location="Budget!G20" display="Return to Budget Worksheet"/>
    <hyperlink ref="I17" location="Budget!G20" display="Return to Budget Worksheet"/>
    <hyperlink ref="I25" location="Budget!G20" display="Return to Budget Worksheet"/>
    <hyperlink ref="I33" location="Budget!G20" display="Return to Budget Worksheet"/>
    <hyperlink ref="I41" location="Budget!G20" display="Return to Budget Worksheet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4"/>
  <sheetViews>
    <sheetView zoomScaleNormal="100" workbookViewId="0">
      <selection activeCell="E20" sqref="E20"/>
    </sheetView>
  </sheetViews>
  <sheetFormatPr defaultRowHeight="15" x14ac:dyDescent="0.25"/>
  <cols>
    <col min="1" max="1" width="28.28515625" customWidth="1"/>
    <col min="2" max="3" width="0" hidden="1" customWidth="1"/>
    <col min="4" max="4" width="8.85546875" customWidth="1"/>
    <col min="5" max="5" width="12.7109375" customWidth="1"/>
    <col min="6" max="6" width="8.85546875" customWidth="1"/>
    <col min="7" max="7" width="13.85546875" customWidth="1"/>
    <col min="8" max="8" width="24.28515625" bestFit="1" customWidth="1"/>
  </cols>
  <sheetData>
    <row r="1" spans="1:33" x14ac:dyDescent="0.25">
      <c r="A1" s="114"/>
      <c r="B1" s="114"/>
      <c r="C1" s="114"/>
      <c r="D1" s="114"/>
      <c r="E1" s="114"/>
      <c r="F1" s="114"/>
      <c r="G1" s="114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</row>
    <row r="2" spans="1:33" x14ac:dyDescent="0.25">
      <c r="A2" s="346" t="s">
        <v>150</v>
      </c>
      <c r="B2" s="346"/>
      <c r="C2" s="346"/>
      <c r="D2" s="346"/>
      <c r="E2" s="346"/>
      <c r="F2" s="346"/>
      <c r="G2" s="346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33" ht="30" x14ac:dyDescent="0.25">
      <c r="A3" s="78" t="s">
        <v>56</v>
      </c>
      <c r="B3" s="79"/>
      <c r="C3" s="79" t="s">
        <v>56</v>
      </c>
      <c r="D3" s="79" t="s">
        <v>3</v>
      </c>
      <c r="E3" s="80" t="s">
        <v>57</v>
      </c>
      <c r="F3" s="79" t="s">
        <v>58</v>
      </c>
      <c r="G3" s="81" t="s">
        <v>59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</row>
    <row r="4" spans="1:33" x14ac:dyDescent="0.25">
      <c r="A4" s="203" t="s">
        <v>60</v>
      </c>
      <c r="B4" s="77">
        <v>2</v>
      </c>
      <c r="C4" s="77" t="e">
        <f>+IF(B4=1,#REF!,IF(B4=2,#REF!,IF(B4=3,#REF!,IF(B4=4,#REF!,IF(B4=5,#REF!)))))</f>
        <v>#REF!</v>
      </c>
      <c r="D4" s="119" t="s">
        <v>61</v>
      </c>
      <c r="E4" s="204">
        <v>1</v>
      </c>
      <c r="F4" s="205">
        <v>3</v>
      </c>
      <c r="G4" s="145">
        <f>F4*E4</f>
        <v>3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3" x14ac:dyDescent="0.25">
      <c r="A5" s="203" t="s">
        <v>62</v>
      </c>
      <c r="B5" s="77">
        <v>1</v>
      </c>
      <c r="C5" s="77" t="e">
        <f>+IF(B5=1,#REF!,IF(B5=2,#REF!,IF(B5=3,#REF!,IF(B5=4,#REF!,IF(B5=5,#REF!)))))</f>
        <v>#REF!</v>
      </c>
      <c r="D5" s="119" t="s">
        <v>61</v>
      </c>
      <c r="E5" s="204">
        <v>2</v>
      </c>
      <c r="F5" s="205">
        <v>6</v>
      </c>
      <c r="G5" s="145">
        <f t="shared" ref="G5:G11" si="0">F5*E5</f>
        <v>12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</row>
    <row r="6" spans="1:33" x14ac:dyDescent="0.25">
      <c r="A6" s="203" t="s">
        <v>63</v>
      </c>
      <c r="B6" s="77">
        <v>3</v>
      </c>
      <c r="C6" s="77" t="e">
        <f>+IF(B6=1,#REF!,IF(B6=2,#REF!,IF(B6=3,#REF!,IF(B6=4,#REF!,IF(B6=5,#REF!)))))</f>
        <v>#REF!</v>
      </c>
      <c r="D6" s="119" t="s">
        <v>61</v>
      </c>
      <c r="E6" s="204">
        <v>2</v>
      </c>
      <c r="F6" s="205">
        <v>1</v>
      </c>
      <c r="G6" s="145">
        <f t="shared" si="0"/>
        <v>2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x14ac:dyDescent="0.25">
      <c r="A7" s="203" t="s">
        <v>64</v>
      </c>
      <c r="B7" s="77">
        <v>4</v>
      </c>
      <c r="C7" s="77" t="e">
        <f>+IF(B7=1,#REF!,IF(B7=2,#REF!,IF(B7=3,#REF!,IF(B7=4,#REF!,IF(B7=5,#REF!)))))</f>
        <v>#REF!</v>
      </c>
      <c r="D7" s="119" t="s">
        <v>61</v>
      </c>
      <c r="E7" s="204">
        <v>1</v>
      </c>
      <c r="F7" s="205">
        <v>4.5</v>
      </c>
      <c r="G7" s="145">
        <f t="shared" si="0"/>
        <v>4.5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</row>
    <row r="8" spans="1:33" x14ac:dyDescent="0.25">
      <c r="A8" s="203" t="s">
        <v>65</v>
      </c>
      <c r="B8" s="77">
        <v>5</v>
      </c>
      <c r="C8" s="77" t="e">
        <f>+IF(B8=1,#REF!,IF(B8=2,#REF!,IF(B8=3,#REF!,IF(B8=4,#REF!,IF(B8=5,#REF!)))))</f>
        <v>#REF!</v>
      </c>
      <c r="D8" s="119" t="s">
        <v>61</v>
      </c>
      <c r="E8" s="204">
        <v>1</v>
      </c>
      <c r="F8" s="205">
        <v>5</v>
      </c>
      <c r="G8" s="145">
        <f t="shared" si="0"/>
        <v>5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</row>
    <row r="9" spans="1:33" x14ac:dyDescent="0.25">
      <c r="A9" s="203" t="s">
        <v>134</v>
      </c>
      <c r="B9" s="77">
        <v>5</v>
      </c>
      <c r="C9" s="77" t="e">
        <f>+IF(B9=1,#REF!,IF(B9=2,#REF!,IF(B9=3,#REF!,IF(B9=4,#REF!,IF(B9=5,#REF!)))))</f>
        <v>#REF!</v>
      </c>
      <c r="D9" s="119" t="s">
        <v>61</v>
      </c>
      <c r="E9" s="204">
        <v>1</v>
      </c>
      <c r="F9" s="205">
        <v>1</v>
      </c>
      <c r="G9" s="145">
        <f t="shared" si="0"/>
        <v>1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</row>
    <row r="10" spans="1:33" x14ac:dyDescent="0.25">
      <c r="A10" s="203" t="s">
        <v>69</v>
      </c>
      <c r="B10" s="77">
        <v>1</v>
      </c>
      <c r="C10" s="77" t="e">
        <f>+IF(B10=1,#REF!,IF(B10=2,#REF!,IF(B10=3,#REF!,IF(B10=4,#REF!,IF(B10=5,#REF!)))))</f>
        <v>#REF!</v>
      </c>
      <c r="D10" s="119" t="s">
        <v>61</v>
      </c>
      <c r="E10" s="204">
        <v>0</v>
      </c>
      <c r="F10" s="205">
        <v>21</v>
      </c>
      <c r="G10" s="145">
        <f t="shared" si="0"/>
        <v>0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</row>
    <row r="11" spans="1:33" x14ac:dyDescent="0.25">
      <c r="A11" s="203" t="s">
        <v>66</v>
      </c>
      <c r="B11" s="77">
        <v>5</v>
      </c>
      <c r="C11" s="77" t="e">
        <f>+IF(B11=1,#REF!,IF(B11=2,#REF!,IF(B11=3,#REF!,IF(B11=4,#REF!,IF(B11=5,#REF!)))))</f>
        <v>#REF!</v>
      </c>
      <c r="D11" s="119" t="s">
        <v>61</v>
      </c>
      <c r="E11" s="204">
        <v>0</v>
      </c>
      <c r="F11" s="205">
        <v>0</v>
      </c>
      <c r="G11" s="145">
        <f t="shared" si="0"/>
        <v>0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</row>
    <row r="12" spans="1:33" x14ac:dyDescent="0.25">
      <c r="A12" s="82" t="s">
        <v>180</v>
      </c>
      <c r="B12" s="83"/>
      <c r="C12" s="83"/>
      <c r="D12" s="83"/>
      <c r="E12" s="83"/>
      <c r="F12" s="146"/>
      <c r="G12" s="147">
        <f>SUM(G4:G11)</f>
        <v>27.5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</row>
    <row r="13" spans="1:33" x14ac:dyDescent="0.25">
      <c r="A13" s="84"/>
      <c r="B13" s="84"/>
      <c r="C13" s="84"/>
      <c r="D13" s="84"/>
      <c r="E13" s="84"/>
      <c r="F13" s="84"/>
      <c r="G13" s="84"/>
      <c r="H13" s="298" t="s">
        <v>220</v>
      </c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</row>
    <row r="14" spans="1:33" x14ac:dyDescent="0.25">
      <c r="A14" s="85" t="s">
        <v>146</v>
      </c>
      <c r="B14" s="85"/>
      <c r="C14" s="85"/>
      <c r="D14" s="85"/>
      <c r="E14" s="85"/>
      <c r="F14" s="85"/>
      <c r="G14" s="85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</row>
    <row r="15" spans="1:33" ht="30" x14ac:dyDescent="0.25">
      <c r="A15" s="78" t="s">
        <v>56</v>
      </c>
      <c r="B15" s="79"/>
      <c r="C15" s="79" t="s">
        <v>56</v>
      </c>
      <c r="D15" s="79" t="s">
        <v>3</v>
      </c>
      <c r="E15" s="80" t="s">
        <v>57</v>
      </c>
      <c r="F15" s="79" t="s">
        <v>58</v>
      </c>
      <c r="G15" s="81" t="s">
        <v>119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</row>
    <row r="16" spans="1:33" x14ac:dyDescent="0.25">
      <c r="A16" s="203" t="s">
        <v>67</v>
      </c>
      <c r="B16" s="77">
        <v>2</v>
      </c>
      <c r="C16" s="77" t="e">
        <f>+IF(B16=1,#REF!,IF(B16=2,#REF!,IF(B16=3,#REF!,IF(B16=4,#REF!,IF(B16=5,#REF!)))))</f>
        <v>#REF!</v>
      </c>
      <c r="D16" s="119" t="s">
        <v>68</v>
      </c>
      <c r="E16" s="204">
        <v>1</v>
      </c>
      <c r="F16" s="206">
        <v>3</v>
      </c>
      <c r="G16" s="145">
        <f t="shared" ref="G16:G22" si="1">F16*E16</f>
        <v>3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</row>
    <row r="17" spans="1:33" x14ac:dyDescent="0.25">
      <c r="A17" s="203" t="s">
        <v>134</v>
      </c>
      <c r="B17" s="77">
        <v>3</v>
      </c>
      <c r="C17" s="77" t="e">
        <f>+IF(B17=1,#REF!,IF(B17=2,#REF!,IF(B17=3,#REF!,IF(B17=4,#REF!,IF(B17=5,#REF!)))))</f>
        <v>#REF!</v>
      </c>
      <c r="D17" s="119" t="s">
        <v>68</v>
      </c>
      <c r="E17" s="204">
        <v>1</v>
      </c>
      <c r="F17" s="206">
        <v>1</v>
      </c>
      <c r="G17" s="145">
        <f t="shared" si="1"/>
        <v>1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</row>
    <row r="18" spans="1:33" x14ac:dyDescent="0.25">
      <c r="A18" s="203" t="s">
        <v>62</v>
      </c>
      <c r="B18" s="77">
        <v>4</v>
      </c>
      <c r="C18" s="77" t="e">
        <f>+IF(B18=1,#REF!,IF(B18=2,#REF!,IF(B18=3,#REF!,IF(B18=4,#REF!,IF(B18=5,#REF!)))))</f>
        <v>#REF!</v>
      </c>
      <c r="D18" s="119" t="s">
        <v>68</v>
      </c>
      <c r="E18" s="204">
        <v>2</v>
      </c>
      <c r="F18" s="206">
        <v>3</v>
      </c>
      <c r="G18" s="145">
        <f t="shared" si="1"/>
        <v>6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</row>
    <row r="19" spans="1:33" x14ac:dyDescent="0.25">
      <c r="A19" s="203" t="s">
        <v>69</v>
      </c>
      <c r="B19" s="77">
        <v>1</v>
      </c>
      <c r="C19" s="77" t="e">
        <f>+IF(B19=1,#REF!,IF(B19=2,#REF!,IF(B19=3,#REF!,IF(B19=4,#REF!,IF(B19=5,#REF!)))))</f>
        <v>#REF!</v>
      </c>
      <c r="D19" s="119" t="s">
        <v>68</v>
      </c>
      <c r="E19" s="204">
        <v>0</v>
      </c>
      <c r="F19" s="206">
        <v>21</v>
      </c>
      <c r="G19" s="145">
        <f t="shared" ref="G19" si="2">F19*E19</f>
        <v>0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</row>
    <row r="20" spans="1:33" x14ac:dyDescent="0.25">
      <c r="A20" s="203" t="s">
        <v>239</v>
      </c>
      <c r="B20" s="77"/>
      <c r="C20" s="77"/>
      <c r="D20" s="119" t="s">
        <v>68</v>
      </c>
      <c r="E20" s="204">
        <v>0</v>
      </c>
      <c r="F20" s="206">
        <v>0</v>
      </c>
      <c r="G20" s="145">
        <f t="shared" si="1"/>
        <v>0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</row>
    <row r="21" spans="1:33" x14ac:dyDescent="0.25">
      <c r="A21" s="203" t="s">
        <v>66</v>
      </c>
      <c r="B21" s="77">
        <v>5</v>
      </c>
      <c r="C21" s="77" t="e">
        <f>+IF(B21=1,#REF!,IF(B21=2,#REF!,IF(B21=3,#REF!,IF(B21=4,#REF!,IF(B21=5,#REF!)))))</f>
        <v>#REF!</v>
      </c>
      <c r="D21" s="119" t="s">
        <v>68</v>
      </c>
      <c r="E21" s="204">
        <v>0</v>
      </c>
      <c r="F21" s="206">
        <v>0</v>
      </c>
      <c r="G21" s="145">
        <f t="shared" si="1"/>
        <v>0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</row>
    <row r="22" spans="1:33" x14ac:dyDescent="0.25">
      <c r="A22" s="203" t="s">
        <v>66</v>
      </c>
      <c r="B22" s="77">
        <v>5</v>
      </c>
      <c r="C22" s="77" t="e">
        <f>+IF(B22=1,#REF!,IF(B22=2,#REF!,IF(B22=3,#REF!,IF(B22=4,#REF!,IF(B22=5,#REF!)))))</f>
        <v>#REF!</v>
      </c>
      <c r="D22" s="119" t="s">
        <v>68</v>
      </c>
      <c r="E22" s="204">
        <v>0</v>
      </c>
      <c r="F22" s="206">
        <v>0</v>
      </c>
      <c r="G22" s="145">
        <f t="shared" si="1"/>
        <v>0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</row>
    <row r="23" spans="1:33" ht="43.5" x14ac:dyDescent="0.25">
      <c r="A23" s="118" t="s">
        <v>181</v>
      </c>
      <c r="B23" s="83"/>
      <c r="C23" s="83"/>
      <c r="D23" s="83"/>
      <c r="E23" s="83"/>
      <c r="F23" s="83"/>
      <c r="G23" s="147">
        <f>SUM(G16:G22)</f>
        <v>10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</row>
    <row r="24" spans="1:33" x14ac:dyDescent="0.25">
      <c r="A24" s="84"/>
      <c r="B24" s="84"/>
      <c r="C24" s="84"/>
      <c r="D24" s="84"/>
      <c r="E24" s="84"/>
      <c r="F24" s="84"/>
      <c r="G24" s="84"/>
      <c r="H24" s="296" t="s">
        <v>220</v>
      </c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</row>
    <row r="25" spans="1:33" x14ac:dyDescent="0.25">
      <c r="A25" s="346" t="s">
        <v>147</v>
      </c>
      <c r="B25" s="346"/>
      <c r="C25" s="346"/>
      <c r="D25" s="346"/>
      <c r="E25" s="346"/>
      <c r="F25" s="346"/>
      <c r="G25" s="346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</row>
    <row r="26" spans="1:33" ht="30" x14ac:dyDescent="0.25">
      <c r="A26" s="78" t="s">
        <v>56</v>
      </c>
      <c r="B26" s="79"/>
      <c r="C26" s="79" t="s">
        <v>56</v>
      </c>
      <c r="D26" s="79" t="s">
        <v>3</v>
      </c>
      <c r="E26" s="80" t="s">
        <v>57</v>
      </c>
      <c r="F26" s="79" t="s">
        <v>58</v>
      </c>
      <c r="G26" s="81" t="s">
        <v>119</v>
      </c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</row>
    <row r="27" spans="1:33" x14ac:dyDescent="0.25">
      <c r="A27" s="203" t="s">
        <v>67</v>
      </c>
      <c r="B27" s="77">
        <v>2</v>
      </c>
      <c r="C27" s="77" t="e">
        <f>+IF(B27=1,#REF!,IF(B27=2,#REF!,IF(B27=3,#REF!,IF(B27=4,#REF!,IF(B27=5,#REF!)))))</f>
        <v>#REF!</v>
      </c>
      <c r="D27" s="119" t="s">
        <v>68</v>
      </c>
      <c r="E27" s="204">
        <v>1</v>
      </c>
      <c r="F27" s="205">
        <v>3</v>
      </c>
      <c r="G27" s="145">
        <f t="shared" ref="G27:G33" si="3">F27*E27</f>
        <v>3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</row>
    <row r="28" spans="1:33" x14ac:dyDescent="0.25">
      <c r="A28" s="203" t="s">
        <v>134</v>
      </c>
      <c r="B28" s="77">
        <v>3</v>
      </c>
      <c r="C28" s="77" t="e">
        <f>+IF(B28=1,#REF!,IF(B28=2,#REF!,IF(B28=3,#REF!,IF(B28=4,#REF!,IF(B28=5,#REF!)))))</f>
        <v>#REF!</v>
      </c>
      <c r="D28" s="119" t="s">
        <v>68</v>
      </c>
      <c r="E28" s="204">
        <v>1</v>
      </c>
      <c r="F28" s="205">
        <v>1</v>
      </c>
      <c r="G28" s="145">
        <f t="shared" si="3"/>
        <v>1</v>
      </c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</row>
    <row r="29" spans="1:33" x14ac:dyDescent="0.25">
      <c r="A29" s="203" t="s">
        <v>62</v>
      </c>
      <c r="B29" s="77">
        <v>4</v>
      </c>
      <c r="C29" s="77" t="e">
        <f>+IF(B29=1,#REF!,IF(B29=2,#REF!,IF(B29=3,#REF!,IF(B29=4,#REF!,IF(B29=5,#REF!)))))</f>
        <v>#REF!</v>
      </c>
      <c r="D29" s="119" t="s">
        <v>68</v>
      </c>
      <c r="E29" s="204">
        <v>2</v>
      </c>
      <c r="F29" s="205">
        <v>3</v>
      </c>
      <c r="G29" s="145">
        <f t="shared" si="3"/>
        <v>6</v>
      </c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</row>
    <row r="30" spans="1:33" x14ac:dyDescent="0.25">
      <c r="A30" s="203" t="s">
        <v>69</v>
      </c>
      <c r="B30" s="77">
        <v>1</v>
      </c>
      <c r="C30" s="77" t="e">
        <f>+IF(B30=1,#REF!,IF(B30=2,#REF!,IF(B30=3,#REF!,IF(B30=4,#REF!,IF(B30=5,#REF!)))))</f>
        <v>#REF!</v>
      </c>
      <c r="D30" s="119" t="s">
        <v>68</v>
      </c>
      <c r="E30" s="204">
        <v>0</v>
      </c>
      <c r="F30" s="205">
        <v>21</v>
      </c>
      <c r="G30" s="145">
        <f t="shared" ref="G30" si="4">F30*E30</f>
        <v>0</v>
      </c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</row>
    <row r="31" spans="1:33" x14ac:dyDescent="0.25">
      <c r="A31" s="203" t="s">
        <v>66</v>
      </c>
      <c r="B31" s="77"/>
      <c r="C31" s="77"/>
      <c r="D31" s="119" t="s">
        <v>68</v>
      </c>
      <c r="E31" s="204">
        <v>0</v>
      </c>
      <c r="F31" s="205">
        <v>0</v>
      </c>
      <c r="G31" s="145">
        <f t="shared" si="3"/>
        <v>0</v>
      </c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</row>
    <row r="32" spans="1:33" x14ac:dyDescent="0.25">
      <c r="A32" s="203" t="s">
        <v>66</v>
      </c>
      <c r="B32" s="77">
        <v>5</v>
      </c>
      <c r="C32" s="77" t="e">
        <f>+IF(B32=1,#REF!,IF(B32=2,#REF!,IF(B32=3,#REF!,IF(B32=4,#REF!,IF(B32=5,#REF!)))))</f>
        <v>#REF!</v>
      </c>
      <c r="D32" s="119" t="s">
        <v>68</v>
      </c>
      <c r="E32" s="204">
        <v>0</v>
      </c>
      <c r="F32" s="205">
        <v>0</v>
      </c>
      <c r="G32" s="145">
        <f t="shared" si="3"/>
        <v>0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</row>
    <row r="33" spans="1:33" x14ac:dyDescent="0.25">
      <c r="A33" s="203" t="s">
        <v>66</v>
      </c>
      <c r="B33" s="77">
        <v>5</v>
      </c>
      <c r="C33" s="77" t="e">
        <f>+IF(B33=1,#REF!,IF(B33=2,#REF!,IF(B33=3,#REF!,IF(B33=4,#REF!,IF(B33=5,#REF!)))))</f>
        <v>#REF!</v>
      </c>
      <c r="D33" s="119" t="s">
        <v>68</v>
      </c>
      <c r="E33" s="204">
        <v>0</v>
      </c>
      <c r="F33" s="205">
        <v>0</v>
      </c>
      <c r="G33" s="145">
        <f t="shared" si="3"/>
        <v>0</v>
      </c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</row>
    <row r="34" spans="1:33" ht="57.75" x14ac:dyDescent="0.25">
      <c r="A34" s="118" t="s">
        <v>182</v>
      </c>
      <c r="B34" s="83"/>
      <c r="C34" s="83"/>
      <c r="D34" s="83"/>
      <c r="E34" s="83"/>
      <c r="F34" s="146"/>
      <c r="G34" s="147">
        <f>SUM(G27:G33)</f>
        <v>10</v>
      </c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</row>
    <row r="35" spans="1:33" x14ac:dyDescent="0.25">
      <c r="A35" s="84"/>
      <c r="B35" s="84"/>
      <c r="C35" s="84"/>
      <c r="D35" s="84"/>
      <c r="E35" s="84"/>
      <c r="F35" s="84"/>
      <c r="G35" s="84"/>
      <c r="H35" s="296" t="s">
        <v>220</v>
      </c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</row>
    <row r="36" spans="1:33" x14ac:dyDescent="0.25">
      <c r="A36" s="346" t="s">
        <v>70</v>
      </c>
      <c r="B36" s="346"/>
      <c r="C36" s="346"/>
      <c r="D36" s="346"/>
      <c r="E36" s="346"/>
      <c r="F36" s="346"/>
      <c r="G36" s="346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</row>
    <row r="37" spans="1:33" ht="30" x14ac:dyDescent="0.25">
      <c r="A37" s="78" t="s">
        <v>56</v>
      </c>
      <c r="B37" s="79"/>
      <c r="C37" s="79" t="s">
        <v>56</v>
      </c>
      <c r="D37" s="79" t="s">
        <v>3</v>
      </c>
      <c r="E37" s="80" t="s">
        <v>57</v>
      </c>
      <c r="F37" s="79" t="s">
        <v>58</v>
      </c>
      <c r="G37" s="81" t="s">
        <v>120</v>
      </c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</row>
    <row r="38" spans="1:33" x14ac:dyDescent="0.25">
      <c r="A38" s="203" t="s">
        <v>60</v>
      </c>
      <c r="B38" s="77">
        <v>2</v>
      </c>
      <c r="C38" s="77" t="e">
        <f>+IF(B38=1,#REF!,IF(B38=2,#REF!,IF(B38=3,#REF!,IF(B38=4,#REF!,IF(B38=5,#REF!)))))</f>
        <v>#REF!</v>
      </c>
      <c r="D38" s="119" t="s">
        <v>71</v>
      </c>
      <c r="E38" s="204">
        <v>1</v>
      </c>
      <c r="F38" s="205">
        <v>3</v>
      </c>
      <c r="G38" s="145">
        <f t="shared" ref="G38:G44" si="5">F38*E38</f>
        <v>3</v>
      </c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</row>
    <row r="39" spans="1:33" x14ac:dyDescent="0.25">
      <c r="A39" s="203" t="s">
        <v>72</v>
      </c>
      <c r="B39" s="77">
        <v>1</v>
      </c>
      <c r="C39" s="77" t="e">
        <f>+IF(B39=1,#REF!,IF(B39=2,#REF!,IF(B39=3,#REF!,IF(B39=4,#REF!,IF(B39=5,#REF!)))))</f>
        <v>#REF!</v>
      </c>
      <c r="D39" s="119" t="s">
        <v>71</v>
      </c>
      <c r="E39" s="204">
        <v>1</v>
      </c>
      <c r="F39" s="205">
        <v>75</v>
      </c>
      <c r="G39" s="145">
        <f t="shared" si="5"/>
        <v>75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</row>
    <row r="40" spans="1:33" x14ac:dyDescent="0.25">
      <c r="A40" s="203" t="s">
        <v>62</v>
      </c>
      <c r="B40" s="77">
        <v>3</v>
      </c>
      <c r="C40" s="77" t="e">
        <f>+IF(B40=1,#REF!,IF(B40=2,#REF!,IF(B40=3,#REF!,IF(B40=4,#REF!,IF(B40=5,#REF!)))))</f>
        <v>#REF!</v>
      </c>
      <c r="D40" s="119" t="s">
        <v>71</v>
      </c>
      <c r="E40" s="204">
        <v>2</v>
      </c>
      <c r="F40" s="205">
        <v>9</v>
      </c>
      <c r="G40" s="145">
        <f t="shared" si="5"/>
        <v>18</v>
      </c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</row>
    <row r="41" spans="1:33" x14ac:dyDescent="0.25">
      <c r="A41" s="203" t="s">
        <v>63</v>
      </c>
      <c r="B41" s="77">
        <v>4</v>
      </c>
      <c r="C41" s="77" t="e">
        <f>+IF(B41=1,#REF!,IF(B41=2,#REF!,IF(B41=3,#REF!,IF(B41=4,#REF!,IF(B41=5,#REF!)))))</f>
        <v>#REF!</v>
      </c>
      <c r="D41" s="119" t="s">
        <v>71</v>
      </c>
      <c r="E41" s="204">
        <v>1</v>
      </c>
      <c r="F41" s="205">
        <v>2</v>
      </c>
      <c r="G41" s="145">
        <f t="shared" si="5"/>
        <v>2</v>
      </c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</row>
    <row r="42" spans="1:33" x14ac:dyDescent="0.25">
      <c r="A42" s="203" t="s">
        <v>134</v>
      </c>
      <c r="B42" s="77">
        <v>5</v>
      </c>
      <c r="C42" s="77" t="e">
        <f>+IF(B42=1,#REF!,IF(B42=2,#REF!,IF(B42=3,#REF!,IF(B42=4,#REF!,IF(B42=5,#REF!)))))</f>
        <v>#REF!</v>
      </c>
      <c r="D42" s="119" t="s">
        <v>71</v>
      </c>
      <c r="E42" s="204">
        <v>1</v>
      </c>
      <c r="F42" s="205">
        <v>1</v>
      </c>
      <c r="G42" s="145">
        <f t="shared" ref="G42:G43" si="6">F42*E42</f>
        <v>1</v>
      </c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</row>
    <row r="43" spans="1:33" x14ac:dyDescent="0.25">
      <c r="A43" s="203" t="s">
        <v>66</v>
      </c>
      <c r="B43" s="77"/>
      <c r="C43" s="77"/>
      <c r="D43" s="119" t="s">
        <v>71</v>
      </c>
      <c r="E43" s="204">
        <v>0</v>
      </c>
      <c r="F43" s="205">
        <v>0</v>
      </c>
      <c r="G43" s="145">
        <f t="shared" si="6"/>
        <v>0</v>
      </c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</row>
    <row r="44" spans="1:33" x14ac:dyDescent="0.25">
      <c r="A44" s="203" t="s">
        <v>66</v>
      </c>
      <c r="B44" s="77">
        <v>5</v>
      </c>
      <c r="C44" s="77" t="e">
        <f>+IF(B44=1,#REF!,IF(B44=2,#REF!,IF(B44=3,#REF!,IF(B44=4,#REF!,IF(B44=5,#REF!)))))</f>
        <v>#REF!</v>
      </c>
      <c r="D44" s="119" t="s">
        <v>71</v>
      </c>
      <c r="E44" s="204">
        <v>0</v>
      </c>
      <c r="F44" s="205">
        <v>0</v>
      </c>
      <c r="G44" s="145">
        <f t="shared" si="5"/>
        <v>0</v>
      </c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</row>
    <row r="45" spans="1:33" x14ac:dyDescent="0.25">
      <c r="A45" s="82" t="s">
        <v>183</v>
      </c>
      <c r="B45" s="83"/>
      <c r="C45" s="83"/>
      <c r="D45" s="83"/>
      <c r="E45" s="83"/>
      <c r="F45" s="146"/>
      <c r="G45" s="147">
        <f>SUM(G38:G44)</f>
        <v>99</v>
      </c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</row>
    <row r="46" spans="1:33" x14ac:dyDescent="0.25">
      <c r="A46" s="84"/>
      <c r="B46" s="84"/>
      <c r="C46" s="84"/>
      <c r="D46" s="84"/>
      <c r="E46" s="84"/>
      <c r="F46" s="84"/>
      <c r="G46" s="84"/>
      <c r="H46" s="296" t="s">
        <v>220</v>
      </c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</row>
    <row r="47" spans="1:33" x14ac:dyDescent="0.25">
      <c r="A47" s="346" t="s">
        <v>218</v>
      </c>
      <c r="B47" s="346"/>
      <c r="C47" s="346"/>
      <c r="D47" s="346"/>
      <c r="E47" s="346"/>
      <c r="F47" s="346"/>
      <c r="G47" s="346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</row>
    <row r="48" spans="1:33" ht="30" x14ac:dyDescent="0.25">
      <c r="A48" s="78" t="s">
        <v>56</v>
      </c>
      <c r="B48" s="79"/>
      <c r="C48" s="79" t="s">
        <v>56</v>
      </c>
      <c r="D48" s="79" t="s">
        <v>3</v>
      </c>
      <c r="E48" s="80" t="s">
        <v>57</v>
      </c>
      <c r="F48" s="79" t="s">
        <v>58</v>
      </c>
      <c r="G48" s="81" t="s">
        <v>121</v>
      </c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</row>
    <row r="49" spans="1:33" x14ac:dyDescent="0.25">
      <c r="A49" s="203" t="s">
        <v>73</v>
      </c>
      <c r="B49" s="77">
        <v>2</v>
      </c>
      <c r="C49" s="77" t="e">
        <f>+IF(B49=1,#REF!,IF(B49=2,#REF!,IF(B49=3,#REF!,IF(B49=4,#REF!,IF(B49=5,#REF!)))))</f>
        <v>#REF!</v>
      </c>
      <c r="D49" s="119" t="s">
        <v>74</v>
      </c>
      <c r="E49" s="125">
        <f>Budget!F8/(Budget!F7+Budget!F8)</f>
        <v>0.56666666666666665</v>
      </c>
      <c r="F49" s="205">
        <v>1.25</v>
      </c>
      <c r="G49" s="145">
        <f t="shared" ref="G49:G55" si="7">F49*E49</f>
        <v>0.70833333333333326</v>
      </c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</row>
    <row r="50" spans="1:33" x14ac:dyDescent="0.25">
      <c r="A50" s="203" t="s">
        <v>75</v>
      </c>
      <c r="B50" s="77">
        <v>1</v>
      </c>
      <c r="C50" s="77" t="e">
        <f>+IF(B50=1,#REF!,IF(B50=2,#REF!,IF(B50=3,#REF!,IF(B50=4,#REF!,IF(B50=5,#REF!)))))</f>
        <v>#REF!</v>
      </c>
      <c r="D50" s="119" t="s">
        <v>74</v>
      </c>
      <c r="E50" s="204">
        <v>2</v>
      </c>
      <c r="F50" s="205">
        <v>3</v>
      </c>
      <c r="G50" s="145">
        <f t="shared" si="7"/>
        <v>6</v>
      </c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</row>
    <row r="51" spans="1:33" x14ac:dyDescent="0.25">
      <c r="A51" s="203" t="s">
        <v>134</v>
      </c>
      <c r="B51" s="77">
        <v>3</v>
      </c>
      <c r="C51" s="77" t="e">
        <f>+IF(B51=1,#REF!,IF(B51=2,#REF!,IF(B51=3,#REF!,IF(B51=4,#REF!,IF(B51=5,#REF!)))))</f>
        <v>#REF!</v>
      </c>
      <c r="D51" s="119" t="s">
        <v>74</v>
      </c>
      <c r="E51" s="204">
        <v>2</v>
      </c>
      <c r="F51" s="205">
        <v>1</v>
      </c>
      <c r="G51" s="145">
        <f t="shared" si="7"/>
        <v>2</v>
      </c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</row>
    <row r="52" spans="1:33" x14ac:dyDescent="0.25">
      <c r="A52" s="203" t="s">
        <v>62</v>
      </c>
      <c r="B52" s="77">
        <v>4</v>
      </c>
      <c r="C52" s="77" t="e">
        <f>+IF(B52=1,#REF!,IF(B52=2,#REF!,IF(B52=3,#REF!,IF(B52=4,#REF!,IF(B52=5,#REF!)))))</f>
        <v>#REF!</v>
      </c>
      <c r="D52" s="119" t="s">
        <v>74</v>
      </c>
      <c r="E52" s="204">
        <v>1</v>
      </c>
      <c r="F52" s="205">
        <v>2.5</v>
      </c>
      <c r="G52" s="145">
        <f t="shared" si="7"/>
        <v>2.5</v>
      </c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</row>
    <row r="53" spans="1:33" x14ac:dyDescent="0.25">
      <c r="A53" s="203" t="s">
        <v>66</v>
      </c>
      <c r="B53" s="77"/>
      <c r="C53" s="77"/>
      <c r="D53" s="119" t="s">
        <v>74</v>
      </c>
      <c r="E53" s="204">
        <v>0</v>
      </c>
      <c r="F53" s="205">
        <v>0</v>
      </c>
      <c r="G53" s="145">
        <f t="shared" si="7"/>
        <v>0</v>
      </c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</row>
    <row r="54" spans="1:33" x14ac:dyDescent="0.25">
      <c r="A54" s="203" t="s">
        <v>66</v>
      </c>
      <c r="B54" s="77"/>
      <c r="C54" s="77"/>
      <c r="D54" s="119" t="s">
        <v>74</v>
      </c>
      <c r="E54" s="204">
        <v>0</v>
      </c>
      <c r="F54" s="205">
        <v>0</v>
      </c>
      <c r="G54" s="145">
        <f t="shared" si="7"/>
        <v>0</v>
      </c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</row>
    <row r="55" spans="1:33" x14ac:dyDescent="0.25">
      <c r="A55" s="203" t="s">
        <v>66</v>
      </c>
      <c r="B55" s="77">
        <v>5</v>
      </c>
      <c r="C55" s="77" t="e">
        <f>+IF(B55=1,#REF!,IF(B55=2,#REF!,IF(B55=3,#REF!,IF(B55=4,#REF!,IF(B55=5,#REF!)))))</f>
        <v>#REF!</v>
      </c>
      <c r="D55" s="119" t="s">
        <v>74</v>
      </c>
      <c r="E55" s="204">
        <v>0</v>
      </c>
      <c r="F55" s="205">
        <v>0</v>
      </c>
      <c r="G55" s="145">
        <f t="shared" si="7"/>
        <v>0</v>
      </c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</row>
    <row r="56" spans="1:33" x14ac:dyDescent="0.25">
      <c r="A56" s="118" t="s">
        <v>184</v>
      </c>
      <c r="B56" s="83"/>
      <c r="C56" s="83"/>
      <c r="D56" s="83"/>
      <c r="E56" s="83"/>
      <c r="F56" s="146"/>
      <c r="G56" s="147">
        <f>SUM(G49:G55)</f>
        <v>11.208333333333332</v>
      </c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</row>
    <row r="57" spans="1:33" x14ac:dyDescent="0.25">
      <c r="A57" s="14"/>
      <c r="B57" s="14"/>
      <c r="C57" s="14"/>
      <c r="D57" s="14"/>
      <c r="E57" s="14"/>
      <c r="F57" s="14"/>
      <c r="G57" s="14"/>
      <c r="H57" s="298" t="s">
        <v>220</v>
      </c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</row>
    <row r="58" spans="1:33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</row>
    <row r="59" spans="1:33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</row>
    <row r="60" spans="1:33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</row>
    <row r="61" spans="1:33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</row>
    <row r="62" spans="1:33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</row>
    <row r="63" spans="1:33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</row>
    <row r="64" spans="1:33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</row>
    <row r="65" spans="1:33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</row>
    <row r="66" spans="1:33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</row>
    <row r="67" spans="1:33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</row>
    <row r="68" spans="1:33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</row>
    <row r="69" spans="1:33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</row>
    <row r="70" spans="1:33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</row>
    <row r="71" spans="1:33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</row>
    <row r="72" spans="1:33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</row>
    <row r="73" spans="1:33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</row>
    <row r="74" spans="1:33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</row>
    <row r="75" spans="1:33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</row>
    <row r="76" spans="1:33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</row>
    <row r="77" spans="1:33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</row>
    <row r="78" spans="1:33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</row>
    <row r="79" spans="1:33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</row>
    <row r="80" spans="1:33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</row>
    <row r="81" spans="1:33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</row>
    <row r="82" spans="1:33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</row>
    <row r="83" spans="1:33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</row>
    <row r="84" spans="1:33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</row>
  </sheetData>
  <sheetProtection sheet="1" objects="1" scenarios="1" selectLockedCells="1"/>
  <mergeCells count="4">
    <mergeCell ref="A2:G2"/>
    <mergeCell ref="A36:G36"/>
    <mergeCell ref="A47:G47"/>
    <mergeCell ref="A25:G25"/>
  </mergeCells>
  <hyperlinks>
    <hyperlink ref="H13" location="Budget!G25" display="Return to Budget Worksheet"/>
    <hyperlink ref="H24" location="Budget!G25" display="Return to Budget Worksheet"/>
    <hyperlink ref="H35" location="Budget!G25" display="Return to Budget Worksheet"/>
    <hyperlink ref="H46" location="Budget!G25" display="Return to Budget Worksheet"/>
    <hyperlink ref="H57" location="Budget!G25" display="Return to Budget Worksheet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6"/>
  <sheetViews>
    <sheetView zoomScaleNormal="100" workbookViewId="0">
      <selection activeCell="A7" sqref="A7:D9"/>
    </sheetView>
  </sheetViews>
  <sheetFormatPr defaultRowHeight="15" x14ac:dyDescent="0.25"/>
  <sheetData>
    <row r="1" spans="1:31" x14ac:dyDescent="0.25">
      <c r="A1" s="233"/>
      <c r="B1" s="233"/>
      <c r="C1" s="233"/>
      <c r="D1" s="233"/>
      <c r="E1" s="233"/>
      <c r="F1" s="233"/>
      <c r="G1" s="233"/>
      <c r="H1" s="233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</row>
    <row r="2" spans="1:31" x14ac:dyDescent="0.25">
      <c r="A2" s="221" t="s">
        <v>113</v>
      </c>
      <c r="B2" s="222"/>
      <c r="C2" s="222"/>
      <c r="D2" s="222"/>
      <c r="E2" s="222"/>
      <c r="F2" s="222"/>
      <c r="G2" s="222"/>
      <c r="H2" s="226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1" x14ac:dyDescent="0.25">
      <c r="A3" s="223"/>
      <c r="B3" s="224"/>
      <c r="C3" s="224"/>
      <c r="D3" s="224"/>
      <c r="E3" s="224"/>
      <c r="F3" s="224"/>
      <c r="G3" s="224"/>
      <c r="H3" s="227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x14ac:dyDescent="0.25">
      <c r="A4" s="352" t="s">
        <v>56</v>
      </c>
      <c r="B4" s="352"/>
      <c r="C4" s="352"/>
      <c r="D4" s="352"/>
      <c r="E4" s="225" t="s">
        <v>3</v>
      </c>
      <c r="F4" s="225" t="s">
        <v>4</v>
      </c>
      <c r="G4" s="225" t="s">
        <v>5</v>
      </c>
      <c r="H4" s="225" t="s">
        <v>83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5" spans="1:31" x14ac:dyDescent="0.25">
      <c r="A5" s="354" t="s">
        <v>97</v>
      </c>
      <c r="B5" s="355"/>
      <c r="C5" s="355"/>
      <c r="D5" s="355"/>
      <c r="E5" s="126" t="s">
        <v>152</v>
      </c>
      <c r="F5" s="127">
        <v>0</v>
      </c>
      <c r="G5" s="128">
        <v>140</v>
      </c>
      <c r="H5" s="208">
        <f>IF(F5*G5&gt;0,G5/F5,0)</f>
        <v>0</v>
      </c>
      <c r="I5" s="11"/>
      <c r="J5" s="11"/>
      <c r="K5" s="11"/>
      <c r="L5" s="11"/>
      <c r="M5" s="235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</row>
    <row r="6" spans="1:31" x14ac:dyDescent="0.25">
      <c r="A6" s="356" t="s">
        <v>98</v>
      </c>
      <c r="B6" s="357"/>
      <c r="C6" s="357"/>
      <c r="D6" s="357"/>
      <c r="E6" s="237"/>
      <c r="F6" s="238"/>
      <c r="G6" s="224"/>
      <c r="H6" s="209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x14ac:dyDescent="0.25">
      <c r="A7" s="349" t="s">
        <v>240</v>
      </c>
      <c r="B7" s="350"/>
      <c r="C7" s="350"/>
      <c r="D7" s="350"/>
      <c r="E7" s="98" t="s">
        <v>100</v>
      </c>
      <c r="F7" s="99">
        <v>0</v>
      </c>
      <c r="G7" s="100">
        <v>0.23</v>
      </c>
      <c r="H7" s="210">
        <f>G7*F7</f>
        <v>0</v>
      </c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</row>
    <row r="8" spans="1:31" x14ac:dyDescent="0.25">
      <c r="A8" s="349" t="s">
        <v>241</v>
      </c>
      <c r="B8" s="350"/>
      <c r="C8" s="350"/>
      <c r="D8" s="350"/>
      <c r="E8" s="98" t="s">
        <v>100</v>
      </c>
      <c r="F8" s="99">
        <v>0</v>
      </c>
      <c r="G8" s="100">
        <v>0.24</v>
      </c>
      <c r="H8" s="210">
        <f t="shared" ref="H8:H14" si="0">G8*F8</f>
        <v>0</v>
      </c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</row>
    <row r="9" spans="1:31" x14ac:dyDescent="0.25">
      <c r="A9" s="349" t="s">
        <v>242</v>
      </c>
      <c r="B9" s="350"/>
      <c r="C9" s="350"/>
      <c r="D9" s="350"/>
      <c r="E9" s="98" t="s">
        <v>100</v>
      </c>
      <c r="F9" s="99">
        <v>0</v>
      </c>
      <c r="G9" s="100">
        <v>0.19</v>
      </c>
      <c r="H9" s="210">
        <f t="shared" si="0"/>
        <v>0</v>
      </c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</row>
    <row r="10" spans="1:31" x14ac:dyDescent="0.25">
      <c r="A10" s="349" t="s">
        <v>222</v>
      </c>
      <c r="B10" s="350"/>
      <c r="C10" s="350"/>
      <c r="D10" s="350"/>
      <c r="E10" s="98" t="s">
        <v>101</v>
      </c>
      <c r="F10" s="99">
        <v>0</v>
      </c>
      <c r="G10" s="100">
        <v>35</v>
      </c>
      <c r="H10" s="210">
        <f t="shared" si="0"/>
        <v>0</v>
      </c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</row>
    <row r="11" spans="1:31" x14ac:dyDescent="0.25">
      <c r="A11" s="101" t="s">
        <v>99</v>
      </c>
      <c r="B11" s="76"/>
      <c r="C11" s="76"/>
      <c r="D11" s="76"/>
      <c r="E11" s="98" t="s">
        <v>104</v>
      </c>
      <c r="F11" s="207">
        <f>IF(Buildings_Equipment!C34&gt;0,IF(SUM(Grass!H7:H9)&gt;0,0.39,0),0)+IF(Buildings_Equipment!C34&gt;0,0.39*F10,0)</f>
        <v>0</v>
      </c>
      <c r="G11" s="100">
        <v>7</v>
      </c>
      <c r="H11" s="210">
        <f t="shared" si="0"/>
        <v>0</v>
      </c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</row>
    <row r="12" spans="1:31" x14ac:dyDescent="0.25">
      <c r="A12" s="349" t="s">
        <v>192</v>
      </c>
      <c r="B12" s="350"/>
      <c r="C12" s="350"/>
      <c r="D12" s="350"/>
      <c r="E12" s="98" t="s">
        <v>101</v>
      </c>
      <c r="F12" s="99">
        <v>1</v>
      </c>
      <c r="G12" s="100">
        <v>2.5</v>
      </c>
      <c r="H12" s="210">
        <f t="shared" ref="H12" si="1">G12*F12</f>
        <v>2.5</v>
      </c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</row>
    <row r="13" spans="1:31" x14ac:dyDescent="0.25">
      <c r="A13" s="149" t="s">
        <v>173</v>
      </c>
      <c r="B13" s="150"/>
      <c r="C13" s="150"/>
      <c r="D13" s="150"/>
      <c r="E13" s="151" t="s">
        <v>10</v>
      </c>
      <c r="F13" s="99">
        <v>0</v>
      </c>
      <c r="G13" s="100">
        <v>7.5</v>
      </c>
      <c r="H13" s="210">
        <f t="shared" ref="H13" si="2">G13*F13</f>
        <v>0</v>
      </c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</row>
    <row r="14" spans="1:31" x14ac:dyDescent="0.25">
      <c r="A14" s="349" t="s">
        <v>66</v>
      </c>
      <c r="B14" s="350"/>
      <c r="C14" s="350"/>
      <c r="D14" s="350"/>
      <c r="E14" s="98" t="s">
        <v>10</v>
      </c>
      <c r="F14" s="99">
        <v>0</v>
      </c>
      <c r="G14" s="100">
        <v>0</v>
      </c>
      <c r="H14" s="210">
        <f t="shared" si="0"/>
        <v>0</v>
      </c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</row>
    <row r="15" spans="1:31" x14ac:dyDescent="0.25">
      <c r="A15" s="220" t="s">
        <v>185</v>
      </c>
      <c r="B15" s="219"/>
      <c r="C15" s="219"/>
      <c r="D15" s="219"/>
      <c r="E15" s="219"/>
      <c r="F15" s="219"/>
      <c r="G15" s="219"/>
      <c r="H15" s="211">
        <f>H5+SUM(H7:H14)</f>
        <v>2.5</v>
      </c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</row>
    <row r="16" spans="1:31" x14ac:dyDescent="0.25">
      <c r="A16" s="233"/>
      <c r="B16" s="233"/>
      <c r="C16" s="233"/>
      <c r="D16" s="233"/>
      <c r="E16" s="233"/>
      <c r="F16" s="233"/>
      <c r="G16" s="233"/>
      <c r="H16" s="233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</row>
    <row r="17" spans="1:31" x14ac:dyDescent="0.25">
      <c r="A17" s="234"/>
      <c r="B17" s="234"/>
      <c r="C17" s="234"/>
      <c r="D17" s="234"/>
      <c r="E17" s="234"/>
      <c r="F17" s="234"/>
      <c r="G17" s="234"/>
      <c r="H17" s="234"/>
      <c r="I17" s="340" t="s">
        <v>220</v>
      </c>
      <c r="J17" s="340"/>
      <c r="K17" s="340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</row>
    <row r="18" spans="1:31" x14ac:dyDescent="0.25">
      <c r="A18" s="239" t="s">
        <v>114</v>
      </c>
      <c r="B18" s="228"/>
      <c r="C18" s="228"/>
      <c r="D18" s="228"/>
      <c r="E18" s="228"/>
      <c r="F18" s="228"/>
      <c r="G18" s="228"/>
      <c r="H18" s="229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</row>
    <row r="19" spans="1:31" x14ac:dyDescent="0.25">
      <c r="A19" s="236"/>
      <c r="B19" s="230"/>
      <c r="C19" s="230"/>
      <c r="D19" s="230"/>
      <c r="E19" s="230"/>
      <c r="F19" s="230"/>
      <c r="G19" s="230"/>
      <c r="H19" s="23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</row>
    <row r="20" spans="1:31" x14ac:dyDescent="0.25">
      <c r="A20" s="212" t="s">
        <v>107</v>
      </c>
      <c r="B20" s="240">
        <v>2</v>
      </c>
      <c r="C20" s="213" t="s">
        <v>108</v>
      </c>
      <c r="D20" s="213"/>
      <c r="E20" s="75">
        <v>1.5</v>
      </c>
      <c r="F20" s="351" t="s">
        <v>102</v>
      </c>
      <c r="G20" s="351"/>
      <c r="H20" s="214">
        <f>B20*E20</f>
        <v>3</v>
      </c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</row>
    <row r="21" spans="1:31" x14ac:dyDescent="0.25">
      <c r="A21" s="352" t="s">
        <v>56</v>
      </c>
      <c r="B21" s="353"/>
      <c r="C21" s="353"/>
      <c r="D21" s="353"/>
      <c r="E21" s="232" t="s">
        <v>3</v>
      </c>
      <c r="F21" s="225" t="s">
        <v>4</v>
      </c>
      <c r="G21" s="225" t="s">
        <v>5</v>
      </c>
      <c r="H21" s="225" t="s">
        <v>83</v>
      </c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</row>
    <row r="22" spans="1:31" x14ac:dyDescent="0.25">
      <c r="A22" s="354" t="s">
        <v>97</v>
      </c>
      <c r="B22" s="355"/>
      <c r="C22" s="355"/>
      <c r="D22" s="355"/>
      <c r="E22" s="129" t="s">
        <v>153</v>
      </c>
      <c r="F22" s="127">
        <v>0</v>
      </c>
      <c r="G22" s="128">
        <v>140</v>
      </c>
      <c r="H22" s="215">
        <f>IF(F22*G22&gt;0,G22/F22,0)</f>
        <v>0</v>
      </c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</row>
    <row r="23" spans="1:31" x14ac:dyDescent="0.25">
      <c r="A23" s="356" t="s">
        <v>98</v>
      </c>
      <c r="B23" s="357"/>
      <c r="C23" s="357"/>
      <c r="D23" s="357"/>
      <c r="E23" s="224"/>
      <c r="F23" s="238"/>
      <c r="G23" s="224"/>
      <c r="H23" s="216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</row>
    <row r="24" spans="1:31" x14ac:dyDescent="0.25">
      <c r="A24" s="349" t="s">
        <v>240</v>
      </c>
      <c r="B24" s="350"/>
      <c r="C24" s="350"/>
      <c r="D24" s="350"/>
      <c r="E24" s="97" t="s">
        <v>100</v>
      </c>
      <c r="F24" s="99">
        <v>200</v>
      </c>
      <c r="G24" s="100">
        <v>0.23</v>
      </c>
      <c r="H24" s="217">
        <f>G24*F24</f>
        <v>46</v>
      </c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</row>
    <row r="25" spans="1:31" x14ac:dyDescent="0.25">
      <c r="A25" s="349" t="s">
        <v>241</v>
      </c>
      <c r="B25" s="350"/>
      <c r="C25" s="350"/>
      <c r="D25" s="350"/>
      <c r="E25" s="97" t="s">
        <v>100</v>
      </c>
      <c r="F25" s="99">
        <v>110</v>
      </c>
      <c r="G25" s="100">
        <v>0.24</v>
      </c>
      <c r="H25" s="217">
        <f t="shared" ref="H25:H31" si="3">G25*F25</f>
        <v>26.4</v>
      </c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</row>
    <row r="26" spans="1:31" x14ac:dyDescent="0.25">
      <c r="A26" s="349" t="s">
        <v>242</v>
      </c>
      <c r="B26" s="350"/>
      <c r="C26" s="350"/>
      <c r="D26" s="350"/>
      <c r="E26" s="97" t="s">
        <v>100</v>
      </c>
      <c r="F26" s="99">
        <v>100</v>
      </c>
      <c r="G26" s="100">
        <v>0.19</v>
      </c>
      <c r="H26" s="217">
        <f t="shared" si="3"/>
        <v>19</v>
      </c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</row>
    <row r="27" spans="1:31" x14ac:dyDescent="0.25">
      <c r="A27" s="349" t="s">
        <v>222</v>
      </c>
      <c r="B27" s="350"/>
      <c r="C27" s="350"/>
      <c r="D27" s="350"/>
      <c r="E27" s="97" t="s">
        <v>101</v>
      </c>
      <c r="F27" s="99">
        <f>1/4</f>
        <v>0.25</v>
      </c>
      <c r="G27" s="100">
        <v>35</v>
      </c>
      <c r="H27" s="217">
        <f t="shared" si="3"/>
        <v>8.75</v>
      </c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</row>
    <row r="28" spans="1:31" x14ac:dyDescent="0.25">
      <c r="A28" s="349" t="s">
        <v>103</v>
      </c>
      <c r="B28" s="350"/>
      <c r="C28" s="350"/>
      <c r="D28" s="350"/>
      <c r="E28" s="97" t="s">
        <v>10</v>
      </c>
      <c r="F28" s="99">
        <v>1</v>
      </c>
      <c r="G28" s="100">
        <v>7</v>
      </c>
      <c r="H28" s="217">
        <f t="shared" si="3"/>
        <v>7</v>
      </c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</row>
    <row r="29" spans="1:31" x14ac:dyDescent="0.25">
      <c r="A29" s="349" t="s">
        <v>99</v>
      </c>
      <c r="B29" s="350"/>
      <c r="C29" s="350"/>
      <c r="D29" s="350"/>
      <c r="E29" s="97" t="s">
        <v>104</v>
      </c>
      <c r="F29" s="207">
        <f>IF(Buildings_Equipment!C34&gt;0,IF(SUM(H24:H26)&gt;0,0.39,0)+(0.39*F27),0)+(3*B20)+IF(Buildings_Equipment!C32&gt;0,IF(H28&gt;0,0.34,0),0)</f>
        <v>6</v>
      </c>
      <c r="G29" s="100">
        <v>2.5</v>
      </c>
      <c r="H29" s="217">
        <f t="shared" si="3"/>
        <v>15</v>
      </c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</row>
    <row r="30" spans="1:31" x14ac:dyDescent="0.25">
      <c r="A30" s="149" t="s">
        <v>173</v>
      </c>
      <c r="B30" s="150"/>
      <c r="C30" s="150"/>
      <c r="D30" s="150"/>
      <c r="E30" s="97" t="s">
        <v>10</v>
      </c>
      <c r="F30" s="99">
        <v>2</v>
      </c>
      <c r="G30" s="100">
        <v>7.5</v>
      </c>
      <c r="H30" s="210">
        <f t="shared" si="3"/>
        <v>15</v>
      </c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</row>
    <row r="31" spans="1:31" x14ac:dyDescent="0.25">
      <c r="A31" s="101" t="s">
        <v>66</v>
      </c>
      <c r="B31" s="76"/>
      <c r="C31" s="76"/>
      <c r="D31" s="76"/>
      <c r="E31" s="97" t="s">
        <v>10</v>
      </c>
      <c r="F31" s="99">
        <v>0</v>
      </c>
      <c r="G31" s="100">
        <v>0</v>
      </c>
      <c r="H31" s="217">
        <f t="shared" si="3"/>
        <v>0</v>
      </c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</row>
    <row r="32" spans="1:31" x14ac:dyDescent="0.25">
      <c r="A32" s="347" t="s">
        <v>105</v>
      </c>
      <c r="B32" s="348"/>
      <c r="C32" s="348"/>
      <c r="D32" s="348"/>
      <c r="E32" s="219"/>
      <c r="F32" s="219"/>
      <c r="G32" s="219"/>
      <c r="H32" s="218">
        <f>H22+SUM(H24:H31)</f>
        <v>137.15</v>
      </c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</row>
    <row r="33" spans="1:31" x14ac:dyDescent="0.25">
      <c r="A33" s="347" t="s">
        <v>106</v>
      </c>
      <c r="B33" s="348"/>
      <c r="C33" s="348"/>
      <c r="D33" s="348"/>
      <c r="E33" s="219"/>
      <c r="F33" s="219"/>
      <c r="G33" s="219"/>
      <c r="H33" s="218">
        <f>H32/H20</f>
        <v>45.716666666666669</v>
      </c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</row>
    <row r="34" spans="1:31" x14ac:dyDescent="0.25">
      <c r="A34" s="233"/>
      <c r="B34" s="233"/>
      <c r="C34" s="233"/>
      <c r="D34" s="233"/>
      <c r="E34" s="233"/>
      <c r="F34" s="233"/>
      <c r="G34" s="233"/>
      <c r="H34" s="233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</row>
    <row r="35" spans="1:31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</row>
    <row r="36" spans="1:3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</row>
    <row r="37" spans="1:31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</row>
    <row r="38" spans="1:3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</row>
    <row r="39" spans="1:31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</row>
    <row r="40" spans="1:31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</row>
    <row r="41" spans="1:31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</row>
    <row r="42" spans="1:31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</row>
    <row r="43" spans="1:3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</row>
    <row r="44" spans="1:3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</row>
    <row r="45" spans="1:3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</row>
    <row r="46" spans="1:3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</row>
    <row r="47" spans="1:3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</row>
    <row r="48" spans="1:3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</row>
    <row r="49" spans="1:3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</row>
    <row r="50" spans="1:3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</row>
    <row r="51" spans="1:3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</row>
    <row r="52" spans="1:3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</row>
    <row r="53" spans="1:3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</row>
    <row r="54" spans="1:3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</row>
    <row r="55" spans="1:3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</row>
    <row r="56" spans="1:3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</row>
  </sheetData>
  <sheetProtection sheet="1" objects="1" scenarios="1" selectLockedCells="1"/>
  <mergeCells count="22">
    <mergeCell ref="I17:K17"/>
    <mergeCell ref="A9:D9"/>
    <mergeCell ref="A10:D10"/>
    <mergeCell ref="A14:D14"/>
    <mergeCell ref="A4:D4"/>
    <mergeCell ref="A5:D5"/>
    <mergeCell ref="A6:D6"/>
    <mergeCell ref="A7:D7"/>
    <mergeCell ref="A8:D8"/>
    <mergeCell ref="A12:D12"/>
    <mergeCell ref="F20:G20"/>
    <mergeCell ref="A21:D21"/>
    <mergeCell ref="A22:D22"/>
    <mergeCell ref="A23:D23"/>
    <mergeCell ref="A24:D24"/>
    <mergeCell ref="A32:D32"/>
    <mergeCell ref="A33:D33"/>
    <mergeCell ref="A25:D25"/>
    <mergeCell ref="A26:D26"/>
    <mergeCell ref="A27:D27"/>
    <mergeCell ref="A28:D28"/>
    <mergeCell ref="A29:D29"/>
  </mergeCells>
  <hyperlinks>
    <hyperlink ref="I17" location="Budget!G17" display="Return to Budget Worksheet"/>
  </hyperlink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zoomScaleNormal="100" workbookViewId="0">
      <selection activeCell="A5" sqref="A5"/>
    </sheetView>
  </sheetViews>
  <sheetFormatPr defaultRowHeight="15" x14ac:dyDescent="0.25"/>
  <cols>
    <col min="1" max="1" width="14" customWidth="1"/>
    <col min="2" max="2" width="13.85546875" bestFit="1" customWidth="1"/>
    <col min="3" max="3" width="12.5703125" bestFit="1" customWidth="1"/>
    <col min="5" max="5" width="11" bestFit="1" customWidth="1"/>
  </cols>
  <sheetData>
    <row r="1" spans="1:24" x14ac:dyDescent="0.25">
      <c r="A1" s="113"/>
      <c r="B1" s="113"/>
      <c r="C1" s="113"/>
      <c r="D1" s="113"/>
      <c r="E1" s="113"/>
      <c r="F1" s="12"/>
      <c r="G1" s="12"/>
      <c r="H1" s="12"/>
      <c r="I1" s="12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x14ac:dyDescent="0.25">
      <c r="A2" s="358" t="s">
        <v>76</v>
      </c>
      <c r="B2" s="359"/>
      <c r="C2" s="359"/>
      <c r="D2" s="359"/>
      <c r="E2" s="360"/>
      <c r="F2" s="12"/>
      <c r="G2" s="12"/>
      <c r="H2" s="12"/>
      <c r="I2" s="12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4" x14ac:dyDescent="0.25">
      <c r="A3" s="102"/>
      <c r="B3" s="66"/>
      <c r="C3" s="66"/>
      <c r="D3" s="66"/>
      <c r="E3" s="103"/>
      <c r="F3" s="12"/>
      <c r="G3" s="12"/>
      <c r="H3" s="12"/>
      <c r="I3" s="12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4" x14ac:dyDescent="0.25">
      <c r="A4" s="104" t="s">
        <v>84</v>
      </c>
      <c r="B4" s="50" t="s">
        <v>3</v>
      </c>
      <c r="C4" s="50" t="s">
        <v>4</v>
      </c>
      <c r="D4" s="50" t="s">
        <v>5</v>
      </c>
      <c r="E4" s="105" t="s">
        <v>85</v>
      </c>
      <c r="F4" s="12"/>
      <c r="G4" s="12"/>
      <c r="H4" s="12"/>
      <c r="I4" s="12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4" x14ac:dyDescent="0.25">
      <c r="A5" s="241" t="s">
        <v>77</v>
      </c>
      <c r="B5" s="120" t="s">
        <v>78</v>
      </c>
      <c r="C5" s="106">
        <f>((Budget!C13*Budget!D13)*(Budget!B9/Budget!C34))+((Budget!C14*Budget!D14)*(Budget!C7/Budget!C34))+((Budget!C15*Budget!D15)*(Budget!C8/Budget!C34))</f>
        <v>735.67647058823525</v>
      </c>
      <c r="D5" s="244">
        <v>0.04</v>
      </c>
      <c r="E5" s="107">
        <f>D5*C5</f>
        <v>29.427058823529411</v>
      </c>
      <c r="F5" s="52"/>
      <c r="G5" s="25"/>
      <c r="H5" s="25"/>
      <c r="I5" s="12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4" x14ac:dyDescent="0.25">
      <c r="A6" s="242" t="s">
        <v>79</v>
      </c>
      <c r="B6" s="120" t="s">
        <v>195</v>
      </c>
      <c r="C6" s="246">
        <v>1</v>
      </c>
      <c r="D6" s="245">
        <v>1</v>
      </c>
      <c r="E6" s="107">
        <f t="shared" ref="E6:E10" si="0">D6*C6</f>
        <v>1</v>
      </c>
      <c r="F6" s="12"/>
      <c r="G6" s="12"/>
      <c r="H6" s="12"/>
      <c r="I6" s="12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x14ac:dyDescent="0.25">
      <c r="A7" s="243" t="s">
        <v>80</v>
      </c>
      <c r="B7" s="121" t="s">
        <v>139</v>
      </c>
      <c r="C7" s="246">
        <v>25</v>
      </c>
      <c r="D7" s="245">
        <f>0.5*2</f>
        <v>1</v>
      </c>
      <c r="E7" s="107">
        <f>(D7*C7)/F7</f>
        <v>5</v>
      </c>
      <c r="F7" s="258">
        <v>5</v>
      </c>
      <c r="G7" s="12" t="s">
        <v>82</v>
      </c>
      <c r="H7" s="12"/>
      <c r="I7" s="12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</row>
    <row r="8" spans="1:24" x14ac:dyDescent="0.25">
      <c r="A8" s="243" t="s">
        <v>155</v>
      </c>
      <c r="B8" s="121" t="s">
        <v>19</v>
      </c>
      <c r="C8" s="246">
        <v>1</v>
      </c>
      <c r="D8" s="245">
        <v>1</v>
      </c>
      <c r="E8" s="107">
        <f t="shared" ref="E8" si="1">D8*C8</f>
        <v>1</v>
      </c>
      <c r="F8" s="116"/>
      <c r="G8" s="12"/>
      <c r="H8" s="12"/>
      <c r="I8" s="12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spans="1:24" x14ac:dyDescent="0.25">
      <c r="A9" s="243" t="s">
        <v>81</v>
      </c>
      <c r="B9" s="121" t="s">
        <v>19</v>
      </c>
      <c r="C9" s="246">
        <v>1</v>
      </c>
      <c r="D9" s="245">
        <v>1</v>
      </c>
      <c r="E9" s="107">
        <f t="shared" si="0"/>
        <v>1</v>
      </c>
      <c r="F9" s="12"/>
      <c r="G9" s="12"/>
      <c r="H9" s="12"/>
      <c r="I9" s="12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1:24" x14ac:dyDescent="0.25">
      <c r="A10" s="243" t="s">
        <v>66</v>
      </c>
      <c r="B10" s="121" t="s">
        <v>19</v>
      </c>
      <c r="C10" s="246">
        <v>1</v>
      </c>
      <c r="D10" s="245">
        <v>0</v>
      </c>
      <c r="E10" s="107">
        <f t="shared" si="0"/>
        <v>0</v>
      </c>
      <c r="F10" s="12"/>
      <c r="G10" s="12"/>
      <c r="H10" s="12"/>
      <c r="I10" s="12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</row>
    <row r="11" spans="1:24" x14ac:dyDescent="0.25">
      <c r="A11" s="108" t="s">
        <v>186</v>
      </c>
      <c r="B11" s="51"/>
      <c r="C11" s="51"/>
      <c r="D11" s="51"/>
      <c r="E11" s="109">
        <f>SUM(E5:E10)</f>
        <v>37.427058823529407</v>
      </c>
      <c r="F11" s="361" t="s">
        <v>220</v>
      </c>
      <c r="G11" s="336"/>
      <c r="H11" s="336"/>
      <c r="I11" s="12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  <row r="12" spans="1:24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</row>
    <row r="13" spans="1:24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</row>
    <row r="14" spans="1:24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</row>
    <row r="15" spans="1:24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</row>
    <row r="16" spans="1:24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</row>
    <row r="17" spans="1:24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</row>
    <row r="18" spans="1:24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</row>
    <row r="19" spans="1:24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</row>
    <row r="20" spans="1:24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</row>
    <row r="21" spans="1:24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</row>
    <row r="22" spans="1:24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</row>
    <row r="23" spans="1:24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</row>
    <row r="24" spans="1:24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</row>
    <row r="25" spans="1:24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</row>
    <row r="26" spans="1:24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</row>
    <row r="27" spans="1:24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</row>
    <row r="28" spans="1:24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</row>
    <row r="29" spans="1:24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</row>
    <row r="30" spans="1:24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</row>
    <row r="31" spans="1:24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</row>
    <row r="32" spans="1:24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</row>
    <row r="33" spans="1:24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</row>
    <row r="34" spans="1:24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spans="1:24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spans="1:24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spans="1:24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1:24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pans="1:24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4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pans="1:24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spans="1:24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spans="1:24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 spans="1:24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1:24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  <row r="48" spans="1:24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1:24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</row>
    <row r="50" spans="1:24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</sheetData>
  <sheetProtection sheet="1" objects="1" scenarios="1" selectLockedCells="1"/>
  <mergeCells count="2">
    <mergeCell ref="A2:E2"/>
    <mergeCell ref="F11:H11"/>
  </mergeCells>
  <hyperlinks>
    <hyperlink ref="F11" location="Budget!G33" display="Return to Budget Worksheet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5"/>
  <sheetViews>
    <sheetView zoomScaleNormal="100" workbookViewId="0">
      <selection activeCell="A3" sqref="A3"/>
    </sheetView>
  </sheetViews>
  <sheetFormatPr defaultRowHeight="15" x14ac:dyDescent="0.25"/>
  <cols>
    <col min="1" max="1" width="28.28515625" customWidth="1"/>
    <col min="2" max="2" width="7.42578125" customWidth="1"/>
    <col min="3" max="3" width="6.42578125" customWidth="1"/>
    <col min="4" max="6" width="7.42578125" customWidth="1"/>
    <col min="7" max="8" width="8.7109375" customWidth="1"/>
    <col min="9" max="9" width="7.42578125" customWidth="1"/>
    <col min="10" max="11" width="8.7109375" customWidth="1"/>
    <col min="12" max="13" width="9.7109375" customWidth="1"/>
    <col min="14" max="14" width="9.28515625" customWidth="1"/>
    <col min="15" max="15" width="9.7109375" customWidth="1"/>
    <col min="16" max="16" width="8.28515625" customWidth="1"/>
    <col min="17" max="17" width="7.140625" customWidth="1"/>
    <col min="18" max="18" width="8.7109375" customWidth="1"/>
    <col min="19" max="19" width="6.5703125" customWidth="1"/>
    <col min="20" max="20" width="8.7109375" customWidth="1"/>
    <col min="21" max="21" width="7.42578125" customWidth="1"/>
    <col min="22" max="22" width="9.28515625" customWidth="1"/>
  </cols>
  <sheetData>
    <row r="1" spans="1:38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</row>
    <row r="2" spans="1:38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</row>
    <row r="3" spans="1:38" x14ac:dyDescent="0.25">
      <c r="A3" s="298" t="s">
        <v>220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56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</row>
    <row r="4" spans="1:38" x14ac:dyDescent="0.25">
      <c r="A4" s="139" t="s">
        <v>41</v>
      </c>
      <c r="B4" s="155">
        <f>Budget!B2</f>
        <v>40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</row>
    <row r="5" spans="1:38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31"/>
      <c r="M5" s="131"/>
      <c r="N5" s="131"/>
      <c r="O5" s="131"/>
      <c r="P5" s="14"/>
      <c r="Q5" s="14"/>
      <c r="R5" s="14"/>
      <c r="S5" s="14"/>
      <c r="T5" s="14"/>
      <c r="U5" s="14"/>
      <c r="V5" s="14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</row>
    <row r="6" spans="1:38" ht="45" customHeight="1" x14ac:dyDescent="0.25">
      <c r="A6" s="64" t="s">
        <v>47</v>
      </c>
      <c r="B6" s="21" t="s">
        <v>5</v>
      </c>
      <c r="C6" s="21" t="s">
        <v>87</v>
      </c>
      <c r="D6" s="21" t="s">
        <v>18</v>
      </c>
      <c r="E6" s="40" t="s">
        <v>167</v>
      </c>
      <c r="F6" s="40" t="s">
        <v>93</v>
      </c>
      <c r="G6" s="22" t="s">
        <v>44</v>
      </c>
      <c r="H6" s="22" t="s">
        <v>45</v>
      </c>
      <c r="I6" s="40" t="s">
        <v>38</v>
      </c>
      <c r="J6" s="22" t="s">
        <v>162</v>
      </c>
      <c r="K6" s="22" t="s">
        <v>163</v>
      </c>
      <c r="L6" s="137" t="s">
        <v>165</v>
      </c>
      <c r="M6" s="137" t="s">
        <v>166</v>
      </c>
      <c r="N6" s="137" t="s">
        <v>223</v>
      </c>
      <c r="O6" s="130" t="s">
        <v>46</v>
      </c>
      <c r="P6" s="22" t="s">
        <v>159</v>
      </c>
      <c r="Q6" s="22" t="s">
        <v>160</v>
      </c>
      <c r="R6" s="22" t="s">
        <v>135</v>
      </c>
      <c r="S6" s="22" t="s">
        <v>224</v>
      </c>
      <c r="T6" s="21" t="s">
        <v>96</v>
      </c>
      <c r="U6" s="21" t="s">
        <v>19</v>
      </c>
      <c r="V6" s="22" t="s">
        <v>124</v>
      </c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x14ac:dyDescent="0.25">
      <c r="A7" s="160" t="s">
        <v>194</v>
      </c>
      <c r="B7" s="154">
        <f>13599*(B4/40)</f>
        <v>13599</v>
      </c>
      <c r="C7" s="164">
        <v>1</v>
      </c>
      <c r="D7" s="16">
        <f>B7*C7</f>
        <v>13599</v>
      </c>
      <c r="E7" s="163">
        <v>30</v>
      </c>
      <c r="F7" s="166">
        <v>0</v>
      </c>
      <c r="G7" s="16">
        <f>D7*F7</f>
        <v>0</v>
      </c>
      <c r="H7" s="16">
        <f>(D7+G7)/2</f>
        <v>6799.5</v>
      </c>
      <c r="I7" s="169">
        <v>4.7500000000000001E-2</v>
      </c>
      <c r="J7" s="133">
        <f>IF(AND(E7&gt;0,I7&gt;0),(I7*(1+I7)^E7)/((1+I7)^E7-1),0)</f>
        <v>6.3209453946024868E-2</v>
      </c>
      <c r="K7" s="16">
        <f>IF(J7&gt;0,((D7-G7)*J7)+(I7*G7),0)</f>
        <v>859.58536421199221</v>
      </c>
      <c r="L7" s="16">
        <f>IF(E7&gt;0,(D7-G7)/E7,0)</f>
        <v>453.3</v>
      </c>
      <c r="M7" s="16">
        <f>IF(J7&gt;0,K7-L7,0)</f>
        <v>406.2853642119922</v>
      </c>
      <c r="N7" s="305">
        <v>0.01</v>
      </c>
      <c r="O7" s="16">
        <f>H7*N7</f>
        <v>67.995000000000005</v>
      </c>
      <c r="P7" s="166">
        <v>0.2</v>
      </c>
      <c r="Q7" s="164">
        <v>46</v>
      </c>
      <c r="R7" s="8">
        <f t="shared" ref="R7:R15" si="0">H7*(P7*(Q7/1000))</f>
        <v>62.555399999999999</v>
      </c>
      <c r="S7" s="305">
        <v>0.01</v>
      </c>
      <c r="T7" s="8">
        <f>D7*S7</f>
        <v>135.99</v>
      </c>
      <c r="U7" s="4">
        <f t="shared" ref="U7:U15" si="1">$B$4</f>
        <v>40</v>
      </c>
      <c r="V7" s="8">
        <f>(K7+O7+R7+T7)/U7</f>
        <v>28.153144105299805</v>
      </c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</row>
    <row r="8" spans="1:38" x14ac:dyDescent="0.25">
      <c r="A8" s="162" t="s">
        <v>193</v>
      </c>
      <c r="B8" s="163">
        <v>4945.079999999999</v>
      </c>
      <c r="C8" s="164">
        <v>1</v>
      </c>
      <c r="D8" s="16">
        <f t="shared" ref="D8:D15" si="2">B8*C8</f>
        <v>4945.079999999999</v>
      </c>
      <c r="E8" s="163">
        <v>30</v>
      </c>
      <c r="F8" s="166">
        <v>0</v>
      </c>
      <c r="G8" s="16">
        <f t="shared" ref="G8:G15" si="3">D8*F8</f>
        <v>0</v>
      </c>
      <c r="H8" s="16">
        <f t="shared" ref="H8:H15" si="4">(D8+G8)/2</f>
        <v>2472.5399999999995</v>
      </c>
      <c r="I8" s="169">
        <v>4.7500000000000001E-2</v>
      </c>
      <c r="J8" s="133">
        <f t="shared" ref="J8:J15" si="5">IF(AND(E8&gt;0,I8&gt;0),(I8*(1+I8)^E8)/((1+I8)^E8-1),0)</f>
        <v>6.3209453946024868E-2</v>
      </c>
      <c r="K8" s="16">
        <f t="shared" ref="K8:K15" si="6">IF(J8&gt;0,((D8-G8)*J8)+(I8*G8),0)</f>
        <v>312.57580651940862</v>
      </c>
      <c r="L8" s="16">
        <f t="shared" ref="L8:L15" si="7">IF(E8&gt;0,(D8-G8)/E8,0)</f>
        <v>164.83599999999996</v>
      </c>
      <c r="M8" s="16">
        <f t="shared" ref="M8:M15" si="8">IF(J8&gt;0,K8-L8,0)</f>
        <v>147.73980651940866</v>
      </c>
      <c r="N8" s="305">
        <v>0.01</v>
      </c>
      <c r="O8" s="16">
        <f t="shared" ref="O8:O15" si="9">H8*N8</f>
        <v>24.725399999999997</v>
      </c>
      <c r="P8" s="166">
        <v>0.2</v>
      </c>
      <c r="Q8" s="164">
        <v>46</v>
      </c>
      <c r="R8" s="8">
        <f t="shared" si="0"/>
        <v>22.747367999999994</v>
      </c>
      <c r="S8" s="305">
        <v>0.01</v>
      </c>
      <c r="T8" s="8">
        <f t="shared" ref="T8:T15" si="10">D8*S8</f>
        <v>49.450799999999994</v>
      </c>
      <c r="U8" s="4">
        <f t="shared" si="1"/>
        <v>40</v>
      </c>
      <c r="V8" s="8">
        <f t="shared" ref="V8:V15" si="11">(K8+O8+R8+T8)/U8</f>
        <v>10.237484362985215</v>
      </c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</row>
    <row r="9" spans="1:38" x14ac:dyDescent="0.25">
      <c r="A9" s="162" t="s">
        <v>89</v>
      </c>
      <c r="B9" s="163">
        <v>7457.204999999999</v>
      </c>
      <c r="C9" s="164">
        <v>1</v>
      </c>
      <c r="D9" s="16">
        <f>B9*C9</f>
        <v>7457.204999999999</v>
      </c>
      <c r="E9" s="163">
        <v>15</v>
      </c>
      <c r="F9" s="166">
        <v>0</v>
      </c>
      <c r="G9" s="16">
        <f>D9*F9</f>
        <v>0</v>
      </c>
      <c r="H9" s="16">
        <f t="shared" si="4"/>
        <v>3728.6024999999995</v>
      </c>
      <c r="I9" s="169">
        <v>4.7500000000000001E-2</v>
      </c>
      <c r="J9" s="133">
        <f t="shared" si="5"/>
        <v>9.4721134410869295E-2</v>
      </c>
      <c r="K9" s="16">
        <f t="shared" si="6"/>
        <v>706.35491713440649</v>
      </c>
      <c r="L9" s="16">
        <f t="shared" si="7"/>
        <v>497.14699999999993</v>
      </c>
      <c r="M9" s="16">
        <f t="shared" si="8"/>
        <v>209.20791713440656</v>
      </c>
      <c r="N9" s="305">
        <v>0.01</v>
      </c>
      <c r="O9" s="16">
        <f t="shared" si="9"/>
        <v>37.286024999999995</v>
      </c>
      <c r="P9" s="166">
        <v>0.2</v>
      </c>
      <c r="Q9" s="164">
        <v>46</v>
      </c>
      <c r="R9" s="8">
        <f t="shared" si="0"/>
        <v>34.303142999999992</v>
      </c>
      <c r="S9" s="305">
        <v>0.01</v>
      </c>
      <c r="T9" s="8">
        <f t="shared" si="10"/>
        <v>74.57204999999999</v>
      </c>
      <c r="U9" s="4">
        <f t="shared" si="1"/>
        <v>40</v>
      </c>
      <c r="V9" s="8">
        <f t="shared" si="11"/>
        <v>21.312903378360161</v>
      </c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</row>
    <row r="10" spans="1:38" x14ac:dyDescent="0.25">
      <c r="A10" s="162" t="s">
        <v>187</v>
      </c>
      <c r="B10" s="163">
        <v>3605.787499999999</v>
      </c>
      <c r="C10" s="164">
        <v>1</v>
      </c>
      <c r="D10" s="16">
        <f t="shared" si="2"/>
        <v>3605.787499999999</v>
      </c>
      <c r="E10" s="163">
        <v>15</v>
      </c>
      <c r="F10" s="166">
        <v>0.35</v>
      </c>
      <c r="G10" s="16">
        <f t="shared" si="3"/>
        <v>1262.0256249999995</v>
      </c>
      <c r="H10" s="16">
        <f t="shared" si="4"/>
        <v>2433.9065624999994</v>
      </c>
      <c r="I10" s="169">
        <v>4.7500000000000001E-2</v>
      </c>
      <c r="J10" s="133">
        <f t="shared" si="5"/>
        <v>9.4721134410869295E-2</v>
      </c>
      <c r="K10" s="16">
        <f t="shared" si="6"/>
        <v>281.95000077644596</v>
      </c>
      <c r="L10" s="16">
        <f t="shared" si="7"/>
        <v>156.25079166666663</v>
      </c>
      <c r="M10" s="16">
        <f t="shared" si="8"/>
        <v>125.69920910977933</v>
      </c>
      <c r="N10" s="305">
        <v>0.01</v>
      </c>
      <c r="O10" s="16">
        <f t="shared" si="9"/>
        <v>24.339065624999993</v>
      </c>
      <c r="P10" s="166">
        <v>0.2</v>
      </c>
      <c r="Q10" s="164">
        <v>46</v>
      </c>
      <c r="R10" s="8">
        <f t="shared" si="0"/>
        <v>22.391940374999994</v>
      </c>
      <c r="S10" s="305">
        <v>0.01</v>
      </c>
      <c r="T10" s="8">
        <f t="shared" si="10"/>
        <v>36.057874999999989</v>
      </c>
      <c r="U10" s="4">
        <f t="shared" si="1"/>
        <v>40</v>
      </c>
      <c r="V10" s="8">
        <f t="shared" si="11"/>
        <v>9.1184720444111473</v>
      </c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</row>
    <row r="11" spans="1:38" ht="15" customHeight="1" x14ac:dyDescent="0.25">
      <c r="A11" s="160" t="s">
        <v>191</v>
      </c>
      <c r="B11" s="189">
        <v>1.0452822847064389</v>
      </c>
      <c r="C11" s="154">
        <f>16004*(B4/40)*((Budget!C18+Budget!C19)/3)</f>
        <v>16004</v>
      </c>
      <c r="D11" s="16">
        <f t="shared" ref="D11" si="12">B11*C11</f>
        <v>16728.69768444185</v>
      </c>
      <c r="E11" s="163">
        <v>30</v>
      </c>
      <c r="F11" s="166">
        <v>0</v>
      </c>
      <c r="G11" s="16">
        <f t="shared" si="3"/>
        <v>0</v>
      </c>
      <c r="H11" s="16">
        <f t="shared" si="4"/>
        <v>8364.3488422209248</v>
      </c>
      <c r="I11" s="169">
        <v>4.7500000000000001E-2</v>
      </c>
      <c r="J11" s="133">
        <f t="shared" si="5"/>
        <v>6.3209453946024868E-2</v>
      </c>
      <c r="K11" s="16">
        <f t="shared" si="6"/>
        <v>1057.4118458616999</v>
      </c>
      <c r="L11" s="16">
        <f t="shared" si="7"/>
        <v>557.62325614806161</v>
      </c>
      <c r="M11" s="16">
        <f t="shared" si="8"/>
        <v>499.78858971363832</v>
      </c>
      <c r="N11" s="305">
        <v>0</v>
      </c>
      <c r="O11" s="16">
        <f t="shared" si="9"/>
        <v>0</v>
      </c>
      <c r="P11" s="166">
        <v>0.2</v>
      </c>
      <c r="Q11" s="164">
        <v>46</v>
      </c>
      <c r="R11" s="8">
        <f t="shared" si="0"/>
        <v>76.952009348432512</v>
      </c>
      <c r="S11" s="305">
        <v>0.01</v>
      </c>
      <c r="T11" s="8">
        <f t="shared" si="10"/>
        <v>167.28697684441849</v>
      </c>
      <c r="U11" s="4">
        <f t="shared" si="1"/>
        <v>40</v>
      </c>
      <c r="V11" s="8">
        <f t="shared" si="11"/>
        <v>32.541270801363773</v>
      </c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</row>
    <row r="12" spans="1:38" ht="15" customHeight="1" x14ac:dyDescent="0.25">
      <c r="A12" s="160" t="s">
        <v>204</v>
      </c>
      <c r="B12" s="189">
        <v>0</v>
      </c>
      <c r="C12" s="154">
        <f>16004*(B4/40)*((Budget!C18+Budget!C19)/3)</f>
        <v>16004</v>
      </c>
      <c r="D12" s="16">
        <f t="shared" ref="D12" si="13">B12*C12</f>
        <v>0</v>
      </c>
      <c r="E12" s="163">
        <v>30</v>
      </c>
      <c r="F12" s="166">
        <v>0</v>
      </c>
      <c r="G12" s="16">
        <f t="shared" ref="G12" si="14">D12*F12</f>
        <v>0</v>
      </c>
      <c r="H12" s="16">
        <v>0</v>
      </c>
      <c r="I12" s="169">
        <v>4.7500000000000001E-2</v>
      </c>
      <c r="J12" s="133">
        <f t="shared" ref="J12" si="15">IF(AND(E12&gt;0,I12&gt;0),(I12*(1+I12)^E12)/((1+I12)^E12-1),0)</f>
        <v>6.3209453946024868E-2</v>
      </c>
      <c r="K12" s="16">
        <f t="shared" ref="K12" si="16">IF(J12&gt;0,((D12-G12)*J12)+(I12*G12),0)</f>
        <v>0</v>
      </c>
      <c r="L12" s="16">
        <f t="shared" ref="L12" si="17">IF(E12&gt;0,(D12-G12)/E12,0)</f>
        <v>0</v>
      </c>
      <c r="M12" s="16">
        <f t="shared" ref="M12" si="18">IF(J12&gt;0,K12-L12,0)</f>
        <v>0</v>
      </c>
      <c r="N12" s="305">
        <v>0</v>
      </c>
      <c r="O12" s="16">
        <f t="shared" si="9"/>
        <v>0</v>
      </c>
      <c r="P12" s="166">
        <v>0</v>
      </c>
      <c r="Q12" s="164">
        <v>0</v>
      </c>
      <c r="R12" s="8">
        <v>0</v>
      </c>
      <c r="S12" s="305">
        <v>0</v>
      </c>
      <c r="T12" s="8">
        <f t="shared" si="10"/>
        <v>0</v>
      </c>
      <c r="U12" s="4">
        <f t="shared" si="1"/>
        <v>40</v>
      </c>
      <c r="V12" s="8">
        <f t="shared" ref="V12" si="19">(K12+O12+R12+T12)/U12</f>
        <v>0</v>
      </c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</row>
    <row r="13" spans="1:38" ht="15" customHeight="1" x14ac:dyDescent="0.25">
      <c r="A13" s="160" t="s">
        <v>190</v>
      </c>
      <c r="B13" s="154">
        <f>(9272*0.75)+((9272*0.25)*(B4/40))</f>
        <v>9272</v>
      </c>
      <c r="C13" s="164">
        <v>1</v>
      </c>
      <c r="D13" s="16">
        <f>B13*C13</f>
        <v>9272</v>
      </c>
      <c r="E13" s="163">
        <v>15</v>
      </c>
      <c r="F13" s="166">
        <v>0</v>
      </c>
      <c r="G13" s="16">
        <f t="shared" si="3"/>
        <v>0</v>
      </c>
      <c r="H13" s="16">
        <f t="shared" si="4"/>
        <v>4636</v>
      </c>
      <c r="I13" s="169">
        <v>4.7500000000000001E-2</v>
      </c>
      <c r="J13" s="133">
        <f t="shared" si="5"/>
        <v>9.4721134410869295E-2</v>
      </c>
      <c r="K13" s="16">
        <f t="shared" si="6"/>
        <v>878.25435825758007</v>
      </c>
      <c r="L13" s="16">
        <f t="shared" si="7"/>
        <v>618.13333333333333</v>
      </c>
      <c r="M13" s="16">
        <f t="shared" si="8"/>
        <v>260.12102492424674</v>
      </c>
      <c r="N13" s="305">
        <v>0</v>
      </c>
      <c r="O13" s="16">
        <f t="shared" si="9"/>
        <v>0</v>
      </c>
      <c r="P13" s="166">
        <v>0.2</v>
      </c>
      <c r="Q13" s="164">
        <v>46</v>
      </c>
      <c r="R13" s="8">
        <f t="shared" si="0"/>
        <v>42.651199999999996</v>
      </c>
      <c r="S13" s="305">
        <v>0.01</v>
      </c>
      <c r="T13" s="8">
        <f t="shared" si="10"/>
        <v>92.72</v>
      </c>
      <c r="U13" s="4">
        <f t="shared" si="1"/>
        <v>40</v>
      </c>
      <c r="V13" s="8">
        <f t="shared" si="11"/>
        <v>25.340638956439502</v>
      </c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</row>
    <row r="14" spans="1:38" x14ac:dyDescent="0.25">
      <c r="A14" s="162" t="s">
        <v>66</v>
      </c>
      <c r="B14" s="163">
        <v>0</v>
      </c>
      <c r="C14" s="164">
        <v>0</v>
      </c>
      <c r="D14" s="16">
        <f t="shared" si="2"/>
        <v>0</v>
      </c>
      <c r="E14" s="163">
        <v>15</v>
      </c>
      <c r="F14" s="166">
        <v>0</v>
      </c>
      <c r="G14" s="16">
        <f t="shared" si="3"/>
        <v>0</v>
      </c>
      <c r="H14" s="16">
        <f t="shared" si="4"/>
        <v>0</v>
      </c>
      <c r="I14" s="169">
        <v>4.7500000000000001E-2</v>
      </c>
      <c r="J14" s="133">
        <f t="shared" si="5"/>
        <v>9.4721134410869295E-2</v>
      </c>
      <c r="K14" s="16">
        <f t="shared" si="6"/>
        <v>0</v>
      </c>
      <c r="L14" s="16">
        <f t="shared" si="7"/>
        <v>0</v>
      </c>
      <c r="M14" s="16">
        <f t="shared" si="8"/>
        <v>0</v>
      </c>
      <c r="N14" s="305">
        <v>0.01</v>
      </c>
      <c r="O14" s="16">
        <f t="shared" si="9"/>
        <v>0</v>
      </c>
      <c r="P14" s="166">
        <v>0.2</v>
      </c>
      <c r="Q14" s="164">
        <v>46</v>
      </c>
      <c r="R14" s="8">
        <f t="shared" si="0"/>
        <v>0</v>
      </c>
      <c r="S14" s="305">
        <v>0.01</v>
      </c>
      <c r="T14" s="8">
        <f t="shared" si="10"/>
        <v>0</v>
      </c>
      <c r="U14" s="4">
        <f t="shared" si="1"/>
        <v>40</v>
      </c>
      <c r="V14" s="8">
        <f t="shared" si="11"/>
        <v>0</v>
      </c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</row>
    <row r="15" spans="1:38" x14ac:dyDescent="0.25">
      <c r="A15" s="161" t="s">
        <v>90</v>
      </c>
      <c r="B15" s="148">
        <f>(SUM(D7:D14)+SUM(D25:D36))*0.05</f>
        <v>5944.2966342220934</v>
      </c>
      <c r="C15" s="165">
        <v>0.25</v>
      </c>
      <c r="D15" s="58">
        <f t="shared" si="2"/>
        <v>1486.0741585555234</v>
      </c>
      <c r="E15" s="167">
        <v>15</v>
      </c>
      <c r="F15" s="168">
        <v>0</v>
      </c>
      <c r="G15" s="58">
        <f t="shared" si="3"/>
        <v>0</v>
      </c>
      <c r="H15" s="58">
        <f t="shared" si="4"/>
        <v>743.03707927776168</v>
      </c>
      <c r="I15" s="170">
        <v>4.7500000000000001E-2</v>
      </c>
      <c r="J15" s="134">
        <f t="shared" si="5"/>
        <v>9.4721134410869295E-2</v>
      </c>
      <c r="K15" s="58">
        <f t="shared" si="6"/>
        <v>140.76263011705723</v>
      </c>
      <c r="L15" s="58">
        <f t="shared" si="7"/>
        <v>99.071610570368222</v>
      </c>
      <c r="M15" s="58">
        <f t="shared" si="8"/>
        <v>41.691019546689006</v>
      </c>
      <c r="N15" s="306">
        <v>0.01</v>
      </c>
      <c r="O15" s="58">
        <f t="shared" si="9"/>
        <v>7.4303707927776168</v>
      </c>
      <c r="P15" s="168">
        <v>0.2</v>
      </c>
      <c r="Q15" s="165">
        <v>46</v>
      </c>
      <c r="R15" s="63">
        <f t="shared" si="0"/>
        <v>6.8359411293554073</v>
      </c>
      <c r="S15" s="306">
        <v>0.01</v>
      </c>
      <c r="T15" s="63">
        <f t="shared" si="10"/>
        <v>14.860741585555234</v>
      </c>
      <c r="U15" s="36">
        <f t="shared" si="1"/>
        <v>40</v>
      </c>
      <c r="V15" s="63">
        <f t="shared" si="11"/>
        <v>4.247242090618637</v>
      </c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</row>
    <row r="16" spans="1:38" ht="18" x14ac:dyDescent="0.25">
      <c r="A16" s="41" t="s">
        <v>111</v>
      </c>
      <c r="B16" s="12"/>
      <c r="C16" s="12"/>
      <c r="D16" s="12"/>
      <c r="E16" s="96"/>
      <c r="F16" s="12"/>
      <c r="G16" s="12"/>
      <c r="H16" s="12"/>
      <c r="I16" s="12"/>
      <c r="J16" s="12"/>
      <c r="K16" s="12"/>
      <c r="L16" s="1"/>
      <c r="M16" s="1"/>
      <c r="N16" s="1"/>
      <c r="O16" s="1"/>
      <c r="P16" s="12"/>
      <c r="Q16" s="12"/>
      <c r="R16" s="12"/>
      <c r="S16" s="304"/>
      <c r="T16" s="12"/>
      <c r="U16" s="12"/>
      <c r="V16" s="12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</row>
    <row r="17" spans="1:38" ht="18" x14ac:dyDescent="0.25">
      <c r="A17" s="41" t="s">
        <v>158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"/>
      <c r="M17" s="1"/>
      <c r="N17" s="1"/>
      <c r="O17" s="1"/>
      <c r="P17" s="12"/>
      <c r="Q17" s="12"/>
      <c r="R17" s="12"/>
      <c r="S17" s="304"/>
      <c r="T17" s="11"/>
      <c r="U17" s="11"/>
      <c r="V17" s="12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</row>
    <row r="18" spans="1:38" ht="18" x14ac:dyDescent="0.25">
      <c r="A18" s="136" t="s">
        <v>168</v>
      </c>
      <c r="B18" s="41"/>
      <c r="C18" s="41"/>
      <c r="D18" s="12"/>
      <c r="E18" s="12"/>
      <c r="F18" s="12"/>
      <c r="G18" s="12"/>
      <c r="H18" s="12"/>
      <c r="I18" s="12"/>
      <c r="J18" s="12"/>
      <c r="K18" s="12"/>
      <c r="L18" s="1"/>
      <c r="M18" s="1"/>
      <c r="N18" s="1"/>
      <c r="O18" s="1"/>
      <c r="P18" s="12"/>
      <c r="Q18" s="12"/>
      <c r="R18" s="12"/>
      <c r="S18" s="304"/>
      <c r="T18" s="12"/>
      <c r="U18" s="12"/>
      <c r="V18" s="12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</row>
    <row r="19" spans="1:38" ht="18" x14ac:dyDescent="0.25">
      <c r="A19" s="41" t="s">
        <v>164</v>
      </c>
      <c r="B19" s="41"/>
      <c r="C19" s="41"/>
      <c r="D19" s="12"/>
      <c r="E19" s="12"/>
      <c r="F19" s="12"/>
      <c r="G19" s="12"/>
      <c r="H19" s="12"/>
      <c r="I19" s="12"/>
      <c r="J19" s="48"/>
      <c r="K19" s="48"/>
      <c r="L19" s="1"/>
      <c r="M19" s="1"/>
      <c r="N19" s="1"/>
      <c r="O19" s="1"/>
      <c r="P19" s="12"/>
      <c r="Q19" s="12"/>
      <c r="R19" s="12"/>
      <c r="S19" s="304"/>
      <c r="T19" s="12"/>
      <c r="U19" s="12"/>
      <c r="V19" s="12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</row>
    <row r="20" spans="1:38" ht="18" x14ac:dyDescent="0.25">
      <c r="A20" s="41" t="s">
        <v>226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"/>
      <c r="M20" s="1"/>
      <c r="N20" s="1"/>
      <c r="O20" s="1"/>
      <c r="P20" s="12"/>
      <c r="Q20" s="12"/>
      <c r="R20" s="12"/>
      <c r="S20" s="304"/>
      <c r="T20" s="12"/>
      <c r="U20" s="12"/>
      <c r="V20" s="12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</row>
    <row r="21" spans="1:38" ht="18" x14ac:dyDescent="0.25">
      <c r="A21" s="41" t="s">
        <v>161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"/>
      <c r="M21" s="1"/>
      <c r="N21" s="1"/>
      <c r="O21" s="1"/>
      <c r="P21" s="12"/>
      <c r="Q21" s="12"/>
      <c r="R21" s="12"/>
      <c r="S21" s="304"/>
      <c r="T21" s="12"/>
      <c r="U21" s="12"/>
      <c r="V21" s="12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</row>
    <row r="22" spans="1:38" ht="18" x14ac:dyDescent="0.25">
      <c r="A22" s="41" t="s">
        <v>225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"/>
      <c r="M22" s="1"/>
      <c r="N22" s="1"/>
      <c r="O22" s="1"/>
      <c r="P22" s="12"/>
      <c r="Q22" s="12"/>
      <c r="R22" s="12"/>
      <c r="S22" s="304"/>
      <c r="T22" s="12"/>
      <c r="U22" s="12"/>
      <c r="V22" s="12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</row>
    <row r="23" spans="1:38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31"/>
      <c r="M23" s="131"/>
      <c r="N23" s="131"/>
      <c r="O23" s="131"/>
      <c r="P23" s="14"/>
      <c r="Q23" s="14"/>
      <c r="R23" s="14"/>
      <c r="S23" s="14"/>
      <c r="T23" s="14"/>
      <c r="U23" s="14"/>
      <c r="V23" s="14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</row>
    <row r="24" spans="1:38" ht="45" customHeight="1" x14ac:dyDescent="0.25">
      <c r="A24" s="65" t="s">
        <v>20</v>
      </c>
      <c r="B24" s="21" t="s">
        <v>5</v>
      </c>
      <c r="C24" s="21" t="s">
        <v>87</v>
      </c>
      <c r="D24" s="21" t="s">
        <v>18</v>
      </c>
      <c r="E24" s="40" t="s">
        <v>167</v>
      </c>
      <c r="F24" s="40" t="s">
        <v>93</v>
      </c>
      <c r="G24" s="39" t="s">
        <v>44</v>
      </c>
      <c r="H24" s="39" t="s">
        <v>45</v>
      </c>
      <c r="I24" s="40" t="s">
        <v>38</v>
      </c>
      <c r="J24" s="22" t="s">
        <v>162</v>
      </c>
      <c r="K24" s="22" t="s">
        <v>163</v>
      </c>
      <c r="L24" s="137" t="s">
        <v>165</v>
      </c>
      <c r="M24" s="137" t="s">
        <v>166</v>
      </c>
      <c r="N24" s="137" t="s">
        <v>223</v>
      </c>
      <c r="O24" s="132" t="s">
        <v>46</v>
      </c>
      <c r="P24" s="22" t="s">
        <v>159</v>
      </c>
      <c r="Q24" s="22" t="s">
        <v>160</v>
      </c>
      <c r="R24" s="22" t="s">
        <v>135</v>
      </c>
      <c r="S24" s="22" t="s">
        <v>224</v>
      </c>
      <c r="T24" s="41" t="s">
        <v>96</v>
      </c>
      <c r="U24" s="40" t="s">
        <v>19</v>
      </c>
      <c r="V24" s="22" t="s">
        <v>124</v>
      </c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</row>
    <row r="25" spans="1:38" x14ac:dyDescent="0.25">
      <c r="A25" s="171" t="s">
        <v>189</v>
      </c>
      <c r="B25" s="172">
        <v>23122.55</v>
      </c>
      <c r="C25" s="173">
        <v>1</v>
      </c>
      <c r="D25" s="54">
        <f t="shared" ref="D25:D36" si="20">B25*C25</f>
        <v>23122.55</v>
      </c>
      <c r="E25" s="180">
        <v>10</v>
      </c>
      <c r="F25" s="181">
        <v>0.33</v>
      </c>
      <c r="G25" s="54">
        <f t="shared" ref="G25:G36" si="21">D25*F25</f>
        <v>7630.4414999999999</v>
      </c>
      <c r="H25" s="31">
        <f t="shared" ref="H25:H36" si="22">(D25+G25)/2</f>
        <v>15376.49575</v>
      </c>
      <c r="I25" s="185">
        <v>4.7500000000000001E-2</v>
      </c>
      <c r="J25" s="135">
        <f t="shared" ref="J25:J36" si="23">IF(AND(E25&gt;0,I25&gt;0),(I25*(1+I25)^E25)/((1+I25)^E25-1),0)</f>
        <v>0.12793699085374183</v>
      </c>
      <c r="K25" s="56">
        <f t="shared" ref="K25:K36" si="24">IF(J25&gt;0,((D25-G25)*J25)+(I25*G25),0)</f>
        <v>2344.459714719676</v>
      </c>
      <c r="L25" s="31">
        <f t="shared" ref="L25:L36" si="25">IF(E25&gt;0,(D25-G25)/E25,0)</f>
        <v>1549.2108499999999</v>
      </c>
      <c r="M25" s="31">
        <f t="shared" ref="M25:M36" si="26">IF(J25&gt;0,K25-L25,0)</f>
        <v>795.24886471967602</v>
      </c>
      <c r="N25" s="305">
        <v>0.01</v>
      </c>
      <c r="O25" s="31">
        <f>H25*N25</f>
        <v>153.76495750000001</v>
      </c>
      <c r="P25" s="166">
        <v>0.2</v>
      </c>
      <c r="Q25" s="164">
        <v>46</v>
      </c>
      <c r="R25" s="8">
        <f t="shared" ref="R25:R36" si="27">H25*(P25*(Q25/1000))</f>
        <v>141.46376090000001</v>
      </c>
      <c r="S25" s="305">
        <v>0.02</v>
      </c>
      <c r="T25" s="32">
        <f>D25*S25</f>
        <v>462.45100000000002</v>
      </c>
      <c r="U25" s="157">
        <f>$B$4</f>
        <v>40</v>
      </c>
      <c r="V25" s="32">
        <f t="shared" ref="V25:V36" si="28">(K25+O25+R25+T25)/U25</f>
        <v>77.553485827991906</v>
      </c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</row>
    <row r="26" spans="1:38" x14ac:dyDescent="0.25">
      <c r="A26" s="174" t="s">
        <v>169</v>
      </c>
      <c r="B26" s="175">
        <v>0</v>
      </c>
      <c r="C26" s="176">
        <v>0</v>
      </c>
      <c r="D26" s="55">
        <f t="shared" si="20"/>
        <v>0</v>
      </c>
      <c r="E26" s="182">
        <v>10</v>
      </c>
      <c r="F26" s="183">
        <v>0.33</v>
      </c>
      <c r="G26" s="55">
        <f t="shared" si="21"/>
        <v>0</v>
      </c>
      <c r="H26" s="56">
        <f t="shared" si="22"/>
        <v>0</v>
      </c>
      <c r="I26" s="185">
        <v>4.7500000000000001E-2</v>
      </c>
      <c r="J26" s="135">
        <f t="shared" si="23"/>
        <v>0.12793699085374183</v>
      </c>
      <c r="K26" s="56">
        <f t="shared" si="24"/>
        <v>0</v>
      </c>
      <c r="L26" s="56">
        <f t="shared" si="25"/>
        <v>0</v>
      </c>
      <c r="M26" s="56">
        <f t="shared" si="26"/>
        <v>0</v>
      </c>
      <c r="N26" s="307">
        <v>0.01</v>
      </c>
      <c r="O26" s="56">
        <f t="shared" ref="O26:O36" si="29">H26*N26</f>
        <v>0</v>
      </c>
      <c r="P26" s="166">
        <v>0.2</v>
      </c>
      <c r="Q26" s="164">
        <v>46</v>
      </c>
      <c r="R26" s="59">
        <f t="shared" si="27"/>
        <v>0</v>
      </c>
      <c r="S26" s="307">
        <v>0.02</v>
      </c>
      <c r="T26" s="59">
        <f t="shared" ref="T26:T36" si="30">D26*S26</f>
        <v>0</v>
      </c>
      <c r="U26" s="158">
        <f t="shared" ref="U26:U36" si="31">$B$4</f>
        <v>40</v>
      </c>
      <c r="V26" s="61">
        <f t="shared" si="28"/>
        <v>0</v>
      </c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</row>
    <row r="27" spans="1:38" x14ac:dyDescent="0.25">
      <c r="A27" s="174" t="s">
        <v>91</v>
      </c>
      <c r="B27" s="175">
        <v>7505.9249999999993</v>
      </c>
      <c r="C27" s="176">
        <v>1</v>
      </c>
      <c r="D27" s="55">
        <f t="shared" si="20"/>
        <v>7505.9249999999993</v>
      </c>
      <c r="E27" s="182">
        <v>10</v>
      </c>
      <c r="F27" s="183">
        <v>0.5</v>
      </c>
      <c r="G27" s="55">
        <f t="shared" si="21"/>
        <v>3752.9624999999996</v>
      </c>
      <c r="H27" s="56">
        <f t="shared" si="22"/>
        <v>5629.4437499999995</v>
      </c>
      <c r="I27" s="185">
        <v>4.7500000000000001E-2</v>
      </c>
      <c r="J27" s="135">
        <f t="shared" si="23"/>
        <v>0.12793699085374183</v>
      </c>
      <c r="K27" s="56">
        <f t="shared" si="24"/>
        <v>658.40844778693599</v>
      </c>
      <c r="L27" s="56">
        <f t="shared" si="25"/>
        <v>375.29624999999999</v>
      </c>
      <c r="M27" s="56">
        <f t="shared" si="26"/>
        <v>283.11219778693601</v>
      </c>
      <c r="N27" s="307">
        <v>0.01</v>
      </c>
      <c r="O27" s="56">
        <f t="shared" si="29"/>
        <v>56.294437499999994</v>
      </c>
      <c r="P27" s="166">
        <v>0.2</v>
      </c>
      <c r="Q27" s="164">
        <v>46</v>
      </c>
      <c r="R27" s="59">
        <f t="shared" si="27"/>
        <v>51.790882499999995</v>
      </c>
      <c r="S27" s="307">
        <v>0.02</v>
      </c>
      <c r="T27" s="59">
        <f t="shared" si="30"/>
        <v>150.11849999999998</v>
      </c>
      <c r="U27" s="158">
        <f t="shared" si="31"/>
        <v>40</v>
      </c>
      <c r="V27" s="61">
        <f t="shared" si="28"/>
        <v>22.915306694673397</v>
      </c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</row>
    <row r="28" spans="1:38" x14ac:dyDescent="0.25">
      <c r="A28" s="174" t="s">
        <v>188</v>
      </c>
      <c r="B28" s="175">
        <v>19788</v>
      </c>
      <c r="C28" s="176">
        <v>1</v>
      </c>
      <c r="D28" s="55">
        <f t="shared" si="20"/>
        <v>19788</v>
      </c>
      <c r="E28" s="182">
        <v>10</v>
      </c>
      <c r="F28" s="183">
        <v>0.38</v>
      </c>
      <c r="G28" s="55">
        <f t="shared" si="21"/>
        <v>7519.4400000000005</v>
      </c>
      <c r="H28" s="56">
        <f t="shared" si="22"/>
        <v>13653.720000000001</v>
      </c>
      <c r="I28" s="185">
        <v>4.7500000000000001E-2</v>
      </c>
      <c r="J28" s="135">
        <f t="shared" si="23"/>
        <v>0.12793699085374183</v>
      </c>
      <c r="K28" s="56">
        <f t="shared" si="24"/>
        <v>1926.7760485085828</v>
      </c>
      <c r="L28" s="56">
        <f t="shared" si="25"/>
        <v>1226.856</v>
      </c>
      <c r="M28" s="56">
        <f t="shared" si="26"/>
        <v>699.92004850858279</v>
      </c>
      <c r="N28" s="307">
        <v>0.01</v>
      </c>
      <c r="O28" s="56">
        <f t="shared" si="29"/>
        <v>136.53720000000001</v>
      </c>
      <c r="P28" s="166">
        <v>0.2</v>
      </c>
      <c r="Q28" s="164">
        <v>46</v>
      </c>
      <c r="R28" s="59">
        <f t="shared" si="27"/>
        <v>125.61422400000001</v>
      </c>
      <c r="S28" s="307">
        <v>0.02</v>
      </c>
      <c r="T28" s="59">
        <f t="shared" si="30"/>
        <v>395.76</v>
      </c>
      <c r="U28" s="158">
        <f t="shared" si="31"/>
        <v>40</v>
      </c>
      <c r="V28" s="61">
        <f t="shared" si="28"/>
        <v>64.617186812714564</v>
      </c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</row>
    <row r="29" spans="1:38" x14ac:dyDescent="0.25">
      <c r="A29" s="174" t="s">
        <v>92</v>
      </c>
      <c r="B29" s="175">
        <v>3957.6000000000004</v>
      </c>
      <c r="C29" s="176">
        <v>1</v>
      </c>
      <c r="D29" s="16">
        <f>B29*C29</f>
        <v>3957.6000000000004</v>
      </c>
      <c r="E29" s="163">
        <v>10</v>
      </c>
      <c r="F29" s="183">
        <v>0.19</v>
      </c>
      <c r="G29" s="16">
        <f t="shared" si="21"/>
        <v>751.94400000000007</v>
      </c>
      <c r="H29" s="16">
        <f t="shared" si="22"/>
        <v>2354.7720000000004</v>
      </c>
      <c r="I29" s="169">
        <v>4.7500000000000001E-2</v>
      </c>
      <c r="J29" s="133">
        <f t="shared" si="23"/>
        <v>0.12793699085374183</v>
      </c>
      <c r="K29" s="16">
        <f t="shared" si="24"/>
        <v>445.83932235224268</v>
      </c>
      <c r="L29" s="16">
        <f t="shared" si="25"/>
        <v>320.56560000000002</v>
      </c>
      <c r="M29" s="16">
        <f t="shared" si="26"/>
        <v>125.27372235224266</v>
      </c>
      <c r="N29" s="305">
        <v>0.01</v>
      </c>
      <c r="O29" s="16">
        <f t="shared" si="29"/>
        <v>23.547720000000005</v>
      </c>
      <c r="P29" s="166">
        <v>0.2</v>
      </c>
      <c r="Q29" s="164">
        <v>46</v>
      </c>
      <c r="R29" s="8">
        <f t="shared" si="27"/>
        <v>21.663902400000005</v>
      </c>
      <c r="S29" s="305">
        <v>0.02</v>
      </c>
      <c r="T29" s="8">
        <f t="shared" si="30"/>
        <v>79.152000000000015</v>
      </c>
      <c r="U29" s="4">
        <f t="shared" si="31"/>
        <v>40</v>
      </c>
      <c r="V29" s="8">
        <f t="shared" si="28"/>
        <v>14.255073618806069</v>
      </c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</row>
    <row r="30" spans="1:38" x14ac:dyDescent="0.25">
      <c r="A30" s="162" t="s">
        <v>88</v>
      </c>
      <c r="B30" s="163">
        <v>2968.2000000000003</v>
      </c>
      <c r="C30" s="164">
        <v>0</v>
      </c>
      <c r="D30" s="55">
        <f t="shared" si="20"/>
        <v>0</v>
      </c>
      <c r="E30" s="182">
        <v>10</v>
      </c>
      <c r="F30" s="183">
        <v>0.17</v>
      </c>
      <c r="G30" s="55">
        <f t="shared" si="21"/>
        <v>0</v>
      </c>
      <c r="H30" s="56">
        <f t="shared" si="22"/>
        <v>0</v>
      </c>
      <c r="I30" s="185">
        <v>4.7500000000000001E-2</v>
      </c>
      <c r="J30" s="135">
        <f t="shared" si="23"/>
        <v>0.12793699085374183</v>
      </c>
      <c r="K30" s="56">
        <f t="shared" si="24"/>
        <v>0</v>
      </c>
      <c r="L30" s="56">
        <f t="shared" si="25"/>
        <v>0</v>
      </c>
      <c r="M30" s="56">
        <f t="shared" si="26"/>
        <v>0</v>
      </c>
      <c r="N30" s="307">
        <v>0.01</v>
      </c>
      <c r="O30" s="56">
        <f t="shared" si="29"/>
        <v>0</v>
      </c>
      <c r="P30" s="166">
        <v>0.2</v>
      </c>
      <c r="Q30" s="164">
        <v>46</v>
      </c>
      <c r="R30" s="59">
        <f t="shared" si="27"/>
        <v>0</v>
      </c>
      <c r="S30" s="307">
        <v>0.02</v>
      </c>
      <c r="T30" s="59">
        <f t="shared" si="30"/>
        <v>0</v>
      </c>
      <c r="U30" s="158">
        <f t="shared" si="31"/>
        <v>40</v>
      </c>
      <c r="V30" s="61">
        <f t="shared" si="28"/>
        <v>0</v>
      </c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</row>
    <row r="31" spans="1:38" x14ac:dyDescent="0.25">
      <c r="A31" s="174" t="s">
        <v>94</v>
      </c>
      <c r="B31" s="175">
        <v>3752.9624999999996</v>
      </c>
      <c r="C31" s="176">
        <v>1</v>
      </c>
      <c r="D31" s="55">
        <f>B31*C31</f>
        <v>3752.9624999999996</v>
      </c>
      <c r="E31" s="182">
        <v>10</v>
      </c>
      <c r="F31" s="183">
        <v>0.1</v>
      </c>
      <c r="G31" s="55">
        <f t="shared" ref="G31" si="32">D31*F31</f>
        <v>375.29624999999999</v>
      </c>
      <c r="H31" s="56">
        <f t="shared" si="22"/>
        <v>2064.129375</v>
      </c>
      <c r="I31" s="185">
        <v>4.7500000000000001E-2</v>
      </c>
      <c r="J31" s="135">
        <f t="shared" si="23"/>
        <v>0.12793699085374183</v>
      </c>
      <c r="K31" s="56">
        <f t="shared" si="24"/>
        <v>449.95502800824244</v>
      </c>
      <c r="L31" s="56">
        <f t="shared" si="25"/>
        <v>337.76662499999998</v>
      </c>
      <c r="M31" s="56">
        <f t="shared" si="26"/>
        <v>112.18840300824246</v>
      </c>
      <c r="N31" s="307">
        <v>0.01</v>
      </c>
      <c r="O31" s="56">
        <f t="shared" si="29"/>
        <v>20.641293749999999</v>
      </c>
      <c r="P31" s="166">
        <v>0.2</v>
      </c>
      <c r="Q31" s="164">
        <v>46</v>
      </c>
      <c r="R31" s="59">
        <f t="shared" si="27"/>
        <v>18.989990249999998</v>
      </c>
      <c r="S31" s="307">
        <v>0.02</v>
      </c>
      <c r="T31" s="59">
        <f t="shared" si="30"/>
        <v>75.059249999999992</v>
      </c>
      <c r="U31" s="158">
        <f t="shared" si="31"/>
        <v>40</v>
      </c>
      <c r="V31" s="61">
        <f t="shared" si="28"/>
        <v>14.116139050206062</v>
      </c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</row>
    <row r="32" spans="1:38" x14ac:dyDescent="0.25">
      <c r="A32" s="174" t="s">
        <v>154</v>
      </c>
      <c r="B32" s="175">
        <v>6211.3295474999977</v>
      </c>
      <c r="C32" s="176">
        <v>0</v>
      </c>
      <c r="D32" s="55">
        <f>B32*C32</f>
        <v>0</v>
      </c>
      <c r="E32" s="182">
        <v>10</v>
      </c>
      <c r="F32" s="183">
        <v>0.4</v>
      </c>
      <c r="G32" s="55">
        <f>D32*F32</f>
        <v>0</v>
      </c>
      <c r="H32" s="56">
        <f t="shared" si="22"/>
        <v>0</v>
      </c>
      <c r="I32" s="185">
        <v>4.7500000000000001E-2</v>
      </c>
      <c r="J32" s="135">
        <f t="shared" si="23"/>
        <v>0.12793699085374183</v>
      </c>
      <c r="K32" s="56">
        <f t="shared" si="24"/>
        <v>0</v>
      </c>
      <c r="L32" s="56">
        <f t="shared" si="25"/>
        <v>0</v>
      </c>
      <c r="M32" s="56">
        <f t="shared" si="26"/>
        <v>0</v>
      </c>
      <c r="N32" s="307">
        <v>0.01</v>
      </c>
      <c r="O32" s="56">
        <f t="shared" si="29"/>
        <v>0</v>
      </c>
      <c r="P32" s="166">
        <v>0.2</v>
      </c>
      <c r="Q32" s="164">
        <v>46</v>
      </c>
      <c r="R32" s="59">
        <f t="shared" si="27"/>
        <v>0</v>
      </c>
      <c r="S32" s="307">
        <v>0.02</v>
      </c>
      <c r="T32" s="59">
        <f t="shared" si="30"/>
        <v>0</v>
      </c>
      <c r="U32" s="158">
        <f t="shared" si="31"/>
        <v>40</v>
      </c>
      <c r="V32" s="61">
        <f t="shared" si="28"/>
        <v>0</v>
      </c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</row>
    <row r="33" spans="1:38" x14ac:dyDescent="0.25">
      <c r="A33" s="174" t="s">
        <v>123</v>
      </c>
      <c r="B33" s="175">
        <v>16364.866568749994</v>
      </c>
      <c r="C33" s="176">
        <v>0</v>
      </c>
      <c r="D33" s="55">
        <f t="shared" ref="D33" si="33">B33*C33</f>
        <v>0</v>
      </c>
      <c r="E33" s="182">
        <v>10</v>
      </c>
      <c r="F33" s="183">
        <v>0.26</v>
      </c>
      <c r="G33" s="55">
        <f t="shared" ref="G33" si="34">D33*F33</f>
        <v>0</v>
      </c>
      <c r="H33" s="56">
        <f t="shared" si="22"/>
        <v>0</v>
      </c>
      <c r="I33" s="185">
        <v>4.7500000000000001E-2</v>
      </c>
      <c r="J33" s="135">
        <f t="shared" si="23"/>
        <v>0.12793699085374183</v>
      </c>
      <c r="K33" s="56">
        <f t="shared" si="24"/>
        <v>0</v>
      </c>
      <c r="L33" s="56">
        <f t="shared" si="25"/>
        <v>0</v>
      </c>
      <c r="M33" s="56">
        <f t="shared" si="26"/>
        <v>0</v>
      </c>
      <c r="N33" s="307">
        <v>0.01</v>
      </c>
      <c r="O33" s="56">
        <f t="shared" si="29"/>
        <v>0</v>
      </c>
      <c r="P33" s="166">
        <v>0.2</v>
      </c>
      <c r="Q33" s="164">
        <v>46</v>
      </c>
      <c r="R33" s="59">
        <f t="shared" si="27"/>
        <v>0</v>
      </c>
      <c r="S33" s="307">
        <v>0.02</v>
      </c>
      <c r="T33" s="59">
        <f t="shared" si="30"/>
        <v>0</v>
      </c>
      <c r="U33" s="158">
        <f t="shared" si="31"/>
        <v>40</v>
      </c>
      <c r="V33" s="61">
        <f t="shared" si="28"/>
        <v>0</v>
      </c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</row>
    <row r="34" spans="1:38" x14ac:dyDescent="0.25">
      <c r="A34" s="174" t="s">
        <v>122</v>
      </c>
      <c r="B34" s="175">
        <v>11293.326449999995</v>
      </c>
      <c r="C34" s="176">
        <v>0</v>
      </c>
      <c r="D34" s="55">
        <f t="shared" ref="D34:D35" si="35">B34*C34</f>
        <v>0</v>
      </c>
      <c r="E34" s="182">
        <v>10</v>
      </c>
      <c r="F34" s="183">
        <v>0.35</v>
      </c>
      <c r="G34" s="55">
        <f t="shared" ref="G34:G35" si="36">D34*F34</f>
        <v>0</v>
      </c>
      <c r="H34" s="56">
        <f t="shared" si="22"/>
        <v>0</v>
      </c>
      <c r="I34" s="185">
        <v>4.7500000000000001E-2</v>
      </c>
      <c r="J34" s="135">
        <f t="shared" si="23"/>
        <v>0.12793699085374183</v>
      </c>
      <c r="K34" s="56">
        <f t="shared" si="24"/>
        <v>0</v>
      </c>
      <c r="L34" s="56">
        <f t="shared" si="25"/>
        <v>0</v>
      </c>
      <c r="M34" s="56">
        <f t="shared" si="26"/>
        <v>0</v>
      </c>
      <c r="N34" s="307">
        <v>0.01</v>
      </c>
      <c r="O34" s="56">
        <f t="shared" si="29"/>
        <v>0</v>
      </c>
      <c r="P34" s="166">
        <v>0.2</v>
      </c>
      <c r="Q34" s="164">
        <v>46</v>
      </c>
      <c r="R34" s="59">
        <f t="shared" si="27"/>
        <v>0</v>
      </c>
      <c r="S34" s="307">
        <v>0.02</v>
      </c>
      <c r="T34" s="59">
        <f t="shared" si="30"/>
        <v>0</v>
      </c>
      <c r="U34" s="158">
        <f t="shared" si="31"/>
        <v>40</v>
      </c>
      <c r="V34" s="61">
        <f t="shared" si="28"/>
        <v>0</v>
      </c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</row>
    <row r="35" spans="1:38" x14ac:dyDescent="0.25">
      <c r="A35" s="174" t="s">
        <v>196</v>
      </c>
      <c r="B35" s="175">
        <v>25755.624999999993</v>
      </c>
      <c r="C35" s="176">
        <v>0.2</v>
      </c>
      <c r="D35" s="55">
        <f t="shared" si="35"/>
        <v>5151.1249999999991</v>
      </c>
      <c r="E35" s="182">
        <v>10</v>
      </c>
      <c r="F35" s="183">
        <v>0.26</v>
      </c>
      <c r="G35" s="55">
        <f t="shared" si="36"/>
        <v>1339.2924999999998</v>
      </c>
      <c r="H35" s="56">
        <f t="shared" si="22"/>
        <v>3245.2087499999993</v>
      </c>
      <c r="I35" s="185">
        <v>4.7500000000000001E-2</v>
      </c>
      <c r="J35" s="135">
        <f t="shared" si="23"/>
        <v>0.12793699085374183</v>
      </c>
      <c r="K35" s="56">
        <f t="shared" si="24"/>
        <v>551.29077343849576</v>
      </c>
      <c r="L35" s="56">
        <f t="shared" si="25"/>
        <v>381.18324999999993</v>
      </c>
      <c r="M35" s="56">
        <f t="shared" si="26"/>
        <v>170.10752343849583</v>
      </c>
      <c r="N35" s="307">
        <v>0.01</v>
      </c>
      <c r="O35" s="56">
        <f t="shared" si="29"/>
        <v>32.45208749999999</v>
      </c>
      <c r="P35" s="166">
        <v>0.2</v>
      </c>
      <c r="Q35" s="164">
        <v>46</v>
      </c>
      <c r="R35" s="59">
        <f t="shared" si="27"/>
        <v>29.855920499999993</v>
      </c>
      <c r="S35" s="307">
        <v>0.02</v>
      </c>
      <c r="T35" s="59">
        <f t="shared" si="30"/>
        <v>103.02249999999998</v>
      </c>
      <c r="U35" s="158">
        <f t="shared" si="31"/>
        <v>40</v>
      </c>
      <c r="V35" s="61">
        <f t="shared" si="28"/>
        <v>17.915532035962393</v>
      </c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</row>
    <row r="36" spans="1:38" x14ac:dyDescent="0.25">
      <c r="A36" s="177" t="s">
        <v>66</v>
      </c>
      <c r="B36" s="178">
        <v>0</v>
      </c>
      <c r="C36" s="179">
        <v>0</v>
      </c>
      <c r="D36" s="57">
        <f t="shared" si="20"/>
        <v>0</v>
      </c>
      <c r="E36" s="167">
        <v>10</v>
      </c>
      <c r="F36" s="184">
        <v>0</v>
      </c>
      <c r="G36" s="57">
        <f t="shared" si="21"/>
        <v>0</v>
      </c>
      <c r="H36" s="58">
        <f t="shared" si="22"/>
        <v>0</v>
      </c>
      <c r="I36" s="170">
        <v>4.7500000000000001E-2</v>
      </c>
      <c r="J36" s="134">
        <f t="shared" si="23"/>
        <v>0.12793699085374183</v>
      </c>
      <c r="K36" s="58">
        <f t="shared" si="24"/>
        <v>0</v>
      </c>
      <c r="L36" s="58">
        <f t="shared" si="25"/>
        <v>0</v>
      </c>
      <c r="M36" s="58">
        <f t="shared" si="26"/>
        <v>0</v>
      </c>
      <c r="N36" s="306">
        <v>0.01</v>
      </c>
      <c r="O36" s="58">
        <f t="shared" si="29"/>
        <v>0</v>
      </c>
      <c r="P36" s="168">
        <v>0.2</v>
      </c>
      <c r="Q36" s="165">
        <v>46</v>
      </c>
      <c r="R36" s="60">
        <f t="shared" si="27"/>
        <v>0</v>
      </c>
      <c r="S36" s="306">
        <v>0.02</v>
      </c>
      <c r="T36" s="60">
        <f t="shared" si="30"/>
        <v>0</v>
      </c>
      <c r="U36" s="159">
        <f t="shared" si="31"/>
        <v>40</v>
      </c>
      <c r="V36" s="62">
        <f t="shared" si="28"/>
        <v>0</v>
      </c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</row>
    <row r="37" spans="1:38" ht="18" x14ac:dyDescent="0.25">
      <c r="A37" s="42" t="s">
        <v>156</v>
      </c>
      <c r="B37" s="42"/>
      <c r="C37" s="42"/>
      <c r="D37" s="41"/>
      <c r="E37" s="41"/>
      <c r="F37" s="41"/>
      <c r="G37" s="41"/>
      <c r="H37" s="12"/>
      <c r="I37" s="12"/>
      <c r="J37" s="38"/>
      <c r="K37" s="43"/>
      <c r="L37" s="25"/>
      <c r="M37" s="25"/>
      <c r="N37" s="25"/>
      <c r="O37" s="42"/>
      <c r="P37" s="42"/>
      <c r="Q37" s="42"/>
      <c r="R37" s="25"/>
      <c r="S37" s="25"/>
      <c r="T37" s="25"/>
      <c r="U37" s="12"/>
      <c r="V37" s="4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</row>
    <row r="38" spans="1:38" ht="18" x14ac:dyDescent="0.25">
      <c r="A38" s="42" t="s">
        <v>158</v>
      </c>
      <c r="B38" s="42"/>
      <c r="C38" s="42"/>
      <c r="D38" s="41"/>
      <c r="E38" s="41"/>
      <c r="F38" s="41"/>
      <c r="G38" s="41"/>
      <c r="H38" s="12"/>
      <c r="I38" s="12"/>
      <c r="J38" s="12"/>
      <c r="K38" s="12"/>
      <c r="L38" s="12"/>
      <c r="M38" s="12"/>
      <c r="N38" s="304"/>
      <c r="O38" s="12"/>
      <c r="P38" s="12"/>
      <c r="Q38" s="12"/>
      <c r="R38" s="41"/>
      <c r="S38" s="41"/>
      <c r="T38" s="12"/>
      <c r="U38" s="44"/>
      <c r="V38" s="4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</row>
    <row r="39" spans="1:38" ht="18" x14ac:dyDescent="0.25">
      <c r="A39" s="136" t="s">
        <v>168</v>
      </c>
      <c r="B39" s="42"/>
      <c r="C39" s="42"/>
      <c r="D39" s="43"/>
      <c r="E39" s="43"/>
      <c r="F39" s="43"/>
      <c r="G39" s="43"/>
      <c r="H39" s="12"/>
      <c r="I39" s="12"/>
      <c r="J39" s="12"/>
      <c r="K39" s="12"/>
      <c r="L39" s="12"/>
      <c r="M39" s="12"/>
      <c r="N39" s="304"/>
      <c r="O39" s="12"/>
      <c r="P39" s="12"/>
      <c r="Q39" s="12"/>
      <c r="R39" s="12"/>
      <c r="S39" s="304"/>
      <c r="T39" s="12"/>
      <c r="U39" s="12"/>
      <c r="V39" s="12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</row>
    <row r="40" spans="1:38" ht="18" x14ac:dyDescent="0.25">
      <c r="A40" s="41" t="s">
        <v>164</v>
      </c>
      <c r="B40" s="42"/>
      <c r="C40" s="42"/>
      <c r="D40" s="41"/>
      <c r="E40" s="41"/>
      <c r="F40" s="41"/>
      <c r="G40" s="41"/>
      <c r="H40" s="12"/>
      <c r="I40" s="12"/>
      <c r="J40" s="12"/>
      <c r="K40" s="12"/>
      <c r="L40" s="12"/>
      <c r="M40" s="12"/>
      <c r="N40" s="304"/>
      <c r="O40" s="12"/>
      <c r="P40" s="12"/>
      <c r="Q40" s="12"/>
      <c r="R40" s="12"/>
      <c r="S40" s="304"/>
      <c r="T40" s="12"/>
      <c r="U40" s="12"/>
      <c r="V40" s="12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</row>
    <row r="41" spans="1:38" ht="18" x14ac:dyDescent="0.25">
      <c r="A41" s="42" t="s">
        <v>226</v>
      </c>
      <c r="B41" s="42"/>
      <c r="C41" s="42"/>
      <c r="D41" s="41"/>
      <c r="E41" s="41"/>
      <c r="F41" s="41"/>
      <c r="G41" s="41"/>
      <c r="H41" s="12"/>
      <c r="I41" s="12"/>
      <c r="J41" s="12"/>
      <c r="K41" s="12"/>
      <c r="L41" s="12"/>
      <c r="M41" s="12"/>
      <c r="N41" s="304"/>
      <c r="O41" s="12"/>
      <c r="P41" s="12"/>
      <c r="Q41" s="12"/>
      <c r="R41" s="12"/>
      <c r="S41" s="304"/>
      <c r="T41" s="12"/>
      <c r="U41" s="12"/>
      <c r="V41" s="12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</row>
    <row r="42" spans="1:38" ht="18" x14ac:dyDescent="0.25">
      <c r="A42" s="41" t="s">
        <v>161</v>
      </c>
      <c r="B42" s="42"/>
      <c r="C42" s="42"/>
      <c r="D42" s="41"/>
      <c r="E42" s="41"/>
      <c r="F42" s="41"/>
      <c r="G42" s="41"/>
      <c r="H42" s="12"/>
      <c r="I42" s="12"/>
      <c r="J42" s="12"/>
      <c r="K42" s="12"/>
      <c r="L42" s="12"/>
      <c r="M42" s="12"/>
      <c r="N42" s="304"/>
      <c r="O42" s="12"/>
      <c r="P42" s="12"/>
      <c r="Q42" s="12"/>
      <c r="R42" s="12"/>
      <c r="S42" s="304"/>
      <c r="T42" s="12"/>
      <c r="U42" s="12"/>
      <c r="V42" s="12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</row>
    <row r="43" spans="1:38" ht="18" x14ac:dyDescent="0.25">
      <c r="A43" s="42" t="s">
        <v>225</v>
      </c>
      <c r="B43" s="42"/>
      <c r="C43" s="42"/>
      <c r="D43" s="41"/>
      <c r="E43" s="41"/>
      <c r="F43" s="41"/>
      <c r="G43" s="41"/>
      <c r="H43" s="12"/>
      <c r="I43" s="12"/>
      <c r="J43" s="12"/>
      <c r="K43" s="12"/>
      <c r="L43" s="12"/>
      <c r="M43" s="12"/>
      <c r="N43" s="304"/>
      <c r="O43" s="12"/>
      <c r="P43" s="12"/>
      <c r="Q43" s="12"/>
      <c r="R43" s="41"/>
      <c r="S43" s="41"/>
      <c r="T43" s="12"/>
      <c r="U43" s="2"/>
      <c r="V43" s="12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</row>
    <row r="44" spans="1:38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</row>
    <row r="45" spans="1:38" ht="15" customHeight="1" x14ac:dyDescent="0.25">
      <c r="A45" s="138" t="s">
        <v>83</v>
      </c>
      <c r="B45" s="12"/>
      <c r="C45" s="12"/>
      <c r="D45" s="12"/>
      <c r="E45" s="12"/>
      <c r="F45" s="12"/>
      <c r="G45" s="12"/>
      <c r="H45" s="53">
        <f>SUM(H7:H15)+SUM(H25:H36)</f>
        <v>71501.704608998669</v>
      </c>
      <c r="I45" s="12"/>
      <c r="J45" s="12"/>
      <c r="K45" s="53">
        <f t="shared" ref="K45:O45" si="37">SUM(K7:K15)+SUM(K25:K36)</f>
        <v>10613.624257692767</v>
      </c>
      <c r="L45" s="53">
        <f t="shared" si="37"/>
        <v>6737.2405667184294</v>
      </c>
      <c r="M45" s="53">
        <f t="shared" si="37"/>
        <v>3876.3836909743368</v>
      </c>
      <c r="N45" s="53"/>
      <c r="O45" s="53">
        <f t="shared" si="37"/>
        <v>585.0135576677776</v>
      </c>
      <c r="P45" s="12"/>
      <c r="Q45" s="12"/>
      <c r="R45" s="53">
        <f t="shared" ref="R45:T45" si="38">SUM(R7:R15)+SUM(R25:R36)</f>
        <v>657.81568240278784</v>
      </c>
      <c r="S45" s="53"/>
      <c r="T45" s="53">
        <f t="shared" si="38"/>
        <v>1836.5016934299738</v>
      </c>
      <c r="U45" s="12"/>
      <c r="V45" s="12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</row>
    <row r="46" spans="1:38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</row>
    <row r="47" spans="1:38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</row>
    <row r="48" spans="1:38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</row>
    <row r="49" spans="1:38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</row>
    <row r="50" spans="1:38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</row>
    <row r="51" spans="1:38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</row>
    <row r="52" spans="1:38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</row>
    <row r="53" spans="1:38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</row>
    <row r="54" spans="1:38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</row>
    <row r="55" spans="1:38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</row>
    <row r="56" spans="1:38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</row>
    <row r="57" spans="1:38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</row>
    <row r="58" spans="1:38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</row>
    <row r="59" spans="1:38" x14ac:dyDescent="0.25">
      <c r="A59" s="26"/>
      <c r="B59" s="26"/>
      <c r="C59" s="26"/>
      <c r="D59" s="26"/>
      <c r="E59" s="26"/>
      <c r="F59" s="26"/>
      <c r="G59" s="26"/>
      <c r="H59" s="26"/>
      <c r="I59" s="26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</row>
    <row r="60" spans="1:38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</row>
    <row r="61" spans="1:38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</row>
    <row r="62" spans="1:38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</row>
    <row r="63" spans="1:38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</row>
    <row r="64" spans="1:38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</row>
    <row r="65" spans="1:38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</row>
    <row r="66" spans="1:38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</row>
    <row r="67" spans="1:38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</row>
    <row r="68" spans="1:38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</row>
    <row r="69" spans="1:38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</row>
    <row r="70" spans="1:38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</row>
    <row r="71" spans="1:38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</row>
    <row r="72" spans="1:38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</row>
    <row r="73" spans="1:38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</row>
    <row r="74" spans="1:38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</row>
    <row r="75" spans="1:38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</row>
    <row r="76" spans="1:38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</row>
    <row r="77" spans="1:38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</row>
    <row r="78" spans="1:38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</row>
    <row r="79" spans="1:38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</row>
    <row r="80" spans="1:38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</row>
    <row r="81" spans="1:38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</row>
    <row r="82" spans="1:38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</row>
    <row r="83" spans="1:38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</row>
    <row r="84" spans="1:38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</row>
    <row r="85" spans="1:38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</row>
    <row r="86" spans="1:38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</row>
    <row r="87" spans="1:38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</row>
    <row r="88" spans="1:38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</row>
    <row r="89" spans="1:38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</row>
    <row r="90" spans="1:38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</row>
    <row r="91" spans="1:38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</row>
    <row r="92" spans="1:38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</row>
    <row r="93" spans="1:38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</row>
    <row r="94" spans="1:38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</row>
    <row r="95" spans="1:38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</row>
    <row r="96" spans="1:38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</row>
    <row r="97" spans="1:38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</row>
    <row r="98" spans="1:38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</row>
    <row r="99" spans="1:38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</row>
    <row r="100" spans="1:38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</row>
    <row r="101" spans="1:38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</row>
    <row r="102" spans="1:38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</row>
    <row r="103" spans="1:38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</row>
    <row r="104" spans="1:38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</row>
    <row r="105" spans="1:38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</row>
  </sheetData>
  <sheetProtection sheet="1" objects="1" scenarios="1" selectLockedCells="1"/>
  <hyperlinks>
    <hyperlink ref="A3" location="Budget!G38" display="Return to Budget Worksheet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0"/>
  <sheetViews>
    <sheetView zoomScaleNormal="100" workbookViewId="0">
      <selection activeCell="A2" sqref="A2"/>
    </sheetView>
  </sheetViews>
  <sheetFormatPr defaultRowHeight="15" x14ac:dyDescent="0.25"/>
  <cols>
    <col min="1" max="1" width="40.85546875" customWidth="1"/>
    <col min="2" max="2" width="11.7109375" customWidth="1"/>
    <col min="3" max="3" width="13.7109375" customWidth="1"/>
    <col min="4" max="4" width="11.7109375" customWidth="1"/>
    <col min="5" max="6" width="8.140625" customWidth="1"/>
    <col min="7" max="7" width="9.42578125" bestFit="1" customWidth="1"/>
    <col min="8" max="9" width="10.140625" customWidth="1"/>
    <col min="10" max="10" width="10.7109375" customWidth="1"/>
    <col min="11" max="11" width="6.7109375" customWidth="1"/>
  </cols>
  <sheetData>
    <row r="1" spans="1:29" x14ac:dyDescent="0.25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spans="1:29" x14ac:dyDescent="0.25">
      <c r="A2" s="303" t="s">
        <v>220</v>
      </c>
      <c r="B2" s="110"/>
      <c r="C2" s="25"/>
      <c r="D2" s="25"/>
      <c r="E2" s="25"/>
      <c r="F2" s="25"/>
      <c r="G2" s="25"/>
      <c r="H2" s="25"/>
      <c r="I2" s="25"/>
      <c r="J2" s="25"/>
      <c r="K2" s="25"/>
      <c r="L2" s="25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spans="1:29" ht="45" customHeight="1" x14ac:dyDescent="0.25">
      <c r="A3" s="112" t="s">
        <v>112</v>
      </c>
      <c r="B3" s="251" t="s">
        <v>130</v>
      </c>
      <c r="C3" s="252" t="s">
        <v>40</v>
      </c>
      <c r="D3" s="252" t="s">
        <v>36</v>
      </c>
      <c r="E3" s="252" t="s">
        <v>37</v>
      </c>
      <c r="F3" s="252" t="s">
        <v>39</v>
      </c>
      <c r="G3" s="252" t="s">
        <v>38</v>
      </c>
      <c r="H3" s="253" t="s">
        <v>34</v>
      </c>
      <c r="I3" s="257"/>
      <c r="J3" s="25"/>
      <c r="K3" s="12"/>
      <c r="L3" s="12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</row>
    <row r="4" spans="1:29" x14ac:dyDescent="0.25">
      <c r="A4" s="122" t="s">
        <v>141</v>
      </c>
      <c r="B4" s="247">
        <v>0</v>
      </c>
      <c r="C4" s="186">
        <v>1750</v>
      </c>
      <c r="D4" s="70">
        <f>B9*B10</f>
        <v>550</v>
      </c>
      <c r="E4" s="249">
        <v>10</v>
      </c>
      <c r="F4" s="32">
        <f>((C4-D4)/E4)*B4</f>
        <v>0</v>
      </c>
      <c r="G4" s="187">
        <v>5.5E-2</v>
      </c>
      <c r="H4" s="67">
        <f>B4*((C4+D4+F4)/2)*G4</f>
        <v>0</v>
      </c>
      <c r="I4" s="255"/>
      <c r="J4" s="25"/>
      <c r="K4" s="12"/>
      <c r="L4" s="12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1:29" x14ac:dyDescent="0.25">
      <c r="A5" s="123" t="s">
        <v>140</v>
      </c>
      <c r="B5" s="74">
        <f>IF(Budget!B11&gt;0,Budget!B11/Budget!B11,0)</f>
        <v>0</v>
      </c>
      <c r="C5" s="70">
        <f>Budget!D41</f>
        <v>1100</v>
      </c>
      <c r="D5" s="70">
        <f>C9*C10</f>
        <v>550</v>
      </c>
      <c r="E5" s="249">
        <v>10</v>
      </c>
      <c r="F5" s="67">
        <f>((C5-D5)/E5)*B5</f>
        <v>0</v>
      </c>
      <c r="G5" s="187">
        <v>5.5E-2</v>
      </c>
      <c r="H5" s="67">
        <f>B5*((C5+D5+F5)/2)*G5</f>
        <v>0</v>
      </c>
      <c r="I5" s="255"/>
      <c r="J5" s="25"/>
      <c r="K5" s="12"/>
      <c r="L5" s="12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 x14ac:dyDescent="0.25">
      <c r="A6" s="124" t="s">
        <v>126</v>
      </c>
      <c r="B6" s="248">
        <v>1</v>
      </c>
      <c r="C6" s="29">
        <v>3500</v>
      </c>
      <c r="D6" s="254">
        <f>D9*D10</f>
        <v>1296</v>
      </c>
      <c r="E6" s="30">
        <v>4</v>
      </c>
      <c r="F6" s="256">
        <f>((C6-D6)/E6)*B6</f>
        <v>551</v>
      </c>
      <c r="G6" s="187">
        <v>5.5E-2</v>
      </c>
      <c r="H6" s="67">
        <f>B6*((C6+D6+F6)/2)*G6</f>
        <v>147.04249999999999</v>
      </c>
      <c r="I6" s="255"/>
      <c r="J6" s="25"/>
      <c r="K6" s="12"/>
      <c r="L6" s="12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x14ac:dyDescent="0.25">
      <c r="A7" s="34"/>
      <c r="B7" s="25"/>
      <c r="C7" s="25"/>
      <c r="D7" s="25"/>
      <c r="E7" s="25"/>
      <c r="F7" s="35"/>
      <c r="G7" s="12"/>
      <c r="H7" s="12"/>
      <c r="I7" s="25"/>
      <c r="J7" s="25"/>
      <c r="K7" s="12"/>
      <c r="L7" s="12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</row>
    <row r="8" spans="1:29" ht="45" customHeight="1" x14ac:dyDescent="0.25">
      <c r="A8" s="12"/>
      <c r="B8" s="21" t="s">
        <v>129</v>
      </c>
      <c r="C8" s="73" t="s">
        <v>127</v>
      </c>
      <c r="D8" s="21" t="s">
        <v>128</v>
      </c>
      <c r="E8" s="12"/>
      <c r="F8" s="12"/>
      <c r="G8" s="12"/>
      <c r="H8" s="12"/>
      <c r="I8" s="25"/>
      <c r="J8" s="25"/>
      <c r="K8" s="12"/>
      <c r="L8" s="12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29" x14ac:dyDescent="0.25">
      <c r="A9" s="68" t="s">
        <v>42</v>
      </c>
      <c r="B9" s="69">
        <f>Budget!C13/100</f>
        <v>11</v>
      </c>
      <c r="C9" s="250">
        <v>11</v>
      </c>
      <c r="D9" s="188">
        <v>18</v>
      </c>
      <c r="E9" s="12"/>
      <c r="F9" s="12"/>
      <c r="G9" s="12"/>
      <c r="H9" s="12"/>
      <c r="I9" s="12"/>
      <c r="J9" s="12"/>
      <c r="K9" s="12"/>
      <c r="L9" s="12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</row>
    <row r="10" spans="1:29" x14ac:dyDescent="0.25">
      <c r="A10" s="68" t="s">
        <v>43</v>
      </c>
      <c r="B10" s="69">
        <f>Budget!D13*100</f>
        <v>50</v>
      </c>
      <c r="C10" s="259">
        <f>B10</f>
        <v>50</v>
      </c>
      <c r="D10" s="188">
        <v>72</v>
      </c>
      <c r="E10" s="12"/>
      <c r="F10" s="12"/>
      <c r="G10" s="12"/>
      <c r="H10" s="12"/>
      <c r="I10" s="12"/>
      <c r="J10" s="12"/>
      <c r="K10" s="12"/>
      <c r="L10" s="12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</row>
    <row r="11" spans="1:29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</row>
    <row r="12" spans="1:29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</row>
    <row r="13" spans="1:29" x14ac:dyDescent="0.25">
      <c r="A13" s="11"/>
      <c r="B13" s="11"/>
      <c r="C13" s="12" t="s">
        <v>170</v>
      </c>
      <c r="D13" s="12"/>
      <c r="E13" s="12"/>
      <c r="F13" s="12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</row>
    <row r="14" spans="1:29" x14ac:dyDescent="0.25">
      <c r="A14" s="11"/>
      <c r="B14" s="11"/>
      <c r="C14" s="12" t="s">
        <v>172</v>
      </c>
      <c r="D14" s="12"/>
      <c r="E14" s="12"/>
      <c r="F14" s="12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</row>
    <row r="15" spans="1:29" x14ac:dyDescent="0.25">
      <c r="A15" s="11"/>
      <c r="B15" s="11"/>
      <c r="C15" s="12" t="s">
        <v>171</v>
      </c>
      <c r="D15" s="12"/>
      <c r="E15" s="12"/>
      <c r="F15" s="12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</row>
    <row r="16" spans="1:29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</row>
    <row r="17" spans="1:29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</row>
    <row r="18" spans="1:29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</row>
    <row r="19" spans="1:29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</row>
    <row r="20" spans="1:29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</row>
    <row r="21" spans="1:29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</row>
    <row r="22" spans="1:29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</row>
    <row r="23" spans="1:29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</row>
    <row r="24" spans="1:29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</row>
    <row r="25" spans="1:29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</row>
    <row r="26" spans="1:29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</row>
    <row r="27" spans="1:29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spans="1:29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</row>
    <row r="29" spans="1:29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</row>
    <row r="30" spans="1:29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</row>
    <row r="31" spans="1:29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</row>
    <row r="32" spans="1:29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</row>
    <row r="33" spans="1:29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</row>
    <row r="34" spans="1:29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</row>
    <row r="35" spans="1:29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</row>
    <row r="36" spans="1:29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</row>
    <row r="37" spans="1:29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</row>
    <row r="38" spans="1:29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</row>
    <row r="39" spans="1:29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</row>
    <row r="40" spans="1:29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</row>
    <row r="41" spans="1:29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</row>
    <row r="42" spans="1:29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</row>
    <row r="43" spans="1:29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</row>
    <row r="44" spans="1:29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</row>
    <row r="45" spans="1:29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</row>
    <row r="46" spans="1:29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</row>
    <row r="47" spans="1:29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</row>
    <row r="48" spans="1:29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</row>
    <row r="49" spans="1:29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</row>
    <row r="50" spans="1:29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</row>
  </sheetData>
  <sheetProtection sheet="1" objects="1" scenarios="1" selectLockedCells="1"/>
  <hyperlinks>
    <hyperlink ref="A2" location="Budget!G38" display="Return to Budget Worksheet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Print_Budget</vt:lpstr>
      <vt:lpstr>Budget</vt:lpstr>
      <vt:lpstr>Feed</vt:lpstr>
      <vt:lpstr>Vet</vt:lpstr>
      <vt:lpstr>Grass</vt:lpstr>
      <vt:lpstr>Auction</vt:lpstr>
      <vt:lpstr>Buildings_Equipment</vt:lpstr>
      <vt:lpstr>Purchased_Stock</vt:lpstr>
      <vt:lpstr>Budget!Print_Area</vt:lpstr>
      <vt:lpstr>Feed!Print_Area</vt:lpstr>
      <vt:lpstr>Print_Budget!Print_Area</vt:lpstr>
      <vt:lpstr>Purchased_Stock!Print_Area</vt:lpstr>
      <vt:lpstr>Vet!Print_Area</vt:lpstr>
    </vt:vector>
  </TitlesOfParts>
  <Company>UACES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bjwatkins</dc:creator>
  <cp:lastModifiedBy>bjwatkins</cp:lastModifiedBy>
  <cp:lastPrinted>2017-05-03T18:36:31Z</cp:lastPrinted>
  <dcterms:created xsi:type="dcterms:W3CDTF">2014-07-03T14:50:32Z</dcterms:created>
  <dcterms:modified xsi:type="dcterms:W3CDTF">2019-09-25T15:02:17Z</dcterms:modified>
</cp:coreProperties>
</file>