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autoCompressPictures="0" defaultThemeVersion="124226"/>
  <mc:AlternateContent xmlns:mc="http://schemas.openxmlformats.org/markup-compatibility/2006">
    <mc:Choice Requires="x15">
      <x15ac:absPath xmlns:x15ac="http://schemas.microsoft.com/office/spreadsheetml/2010/11/ac" url="C:\Users\bwatkins\Desktop\2022 Budget Work\2022 Budgets\"/>
    </mc:Choice>
  </mc:AlternateContent>
  <xr:revisionPtr revIDLastSave="0" documentId="13_ncr:1_{A0B31623-FFF6-4472-AD76-4427E766C817}" xr6:coauthVersionLast="47" xr6:coauthVersionMax="47" xr10:uidLastSave="{00000000-0000-0000-0000-000000000000}"/>
  <bookViews>
    <workbookView xWindow="19905" yWindow="2040" windowWidth="21165" windowHeight="15180" xr2:uid="{00000000-000D-0000-FFFF-FFFF00000000}"/>
  </bookViews>
  <sheets>
    <sheet name="SummaryReport" sheetId="15" r:id="rId1"/>
    <sheet name="Sheet2" sheetId="10" state="hidden" r:id="rId2"/>
    <sheet name="Sheet1" sheetId="11" state="hidden" r:id="rId3"/>
  </sheets>
  <definedNames>
    <definedName name="_xlnm.Print_Area" localSheetId="0">SummaryReport!$A$1:$G$33</definedName>
    <definedName name="Production" localSheetId="0">#REF!</definedName>
    <definedName name="Production">#REF!</definedName>
    <definedName name="row" localSheetId="0">#REF!</definedName>
    <definedName name="row">#REF!</definedName>
    <definedName name="same" localSheetId="0">#REF!</definedName>
    <definedName name="same">#REF!</definedName>
    <definedName name="Technology" localSheetId="0">#REF!</definedName>
    <definedName name="Technology">#REF!</definedName>
    <definedName name="Tillage" localSheetId="0">#REF!</definedName>
    <definedName name="Tillag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F11" i="15" l="1"/>
  <c r="B11" i="15"/>
  <c r="E11" i="15"/>
  <c r="D11" i="15" l="1"/>
  <c r="D13" i="15"/>
  <c r="C11" i="15" l="1"/>
  <c r="F17" i="15" l="1"/>
  <c r="E17" i="15" l="1"/>
  <c r="E13" i="15"/>
  <c r="D17" i="15" l="1"/>
  <c r="C17" i="15"/>
  <c r="C13" i="15" l="1"/>
  <c r="B17" i="15"/>
  <c r="B13" i="15"/>
  <c r="F13" i="15" l="1"/>
  <c r="N3" i="11" l="1"/>
  <c r="O6" i="11"/>
  <c r="O7" i="11" s="1"/>
  <c r="N6" i="11"/>
  <c r="N7" i="11" s="1"/>
  <c r="M3" i="11"/>
  <c r="O3" i="11"/>
  <c r="P3" i="11"/>
  <c r="L48" i="11"/>
  <c r="K48" i="11"/>
  <c r="L47" i="11"/>
  <c r="K47" i="11"/>
  <c r="A66" i="11"/>
  <c r="A65" i="11"/>
  <c r="A64" i="11"/>
  <c r="A63" i="11"/>
  <c r="A62" i="11"/>
  <c r="A61" i="11"/>
  <c r="A60" i="11"/>
  <c r="A59" i="11"/>
  <c r="A58" i="11"/>
  <c r="A57" i="11"/>
  <c r="A53"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G60" i="11"/>
  <c r="AM31" i="11"/>
  <c r="AL31" i="11"/>
  <c r="AK31" i="11"/>
  <c r="S31" i="11"/>
  <c r="R31" i="11"/>
  <c r="AC31" i="11" s="1"/>
  <c r="Q31" i="11"/>
  <c r="Z31" i="11" s="1"/>
  <c r="P31" i="11"/>
  <c r="M31" i="11"/>
  <c r="L31" i="11"/>
  <c r="K31" i="11"/>
  <c r="F31" i="11"/>
  <c r="E31" i="11"/>
  <c r="D31" i="11"/>
  <c r="C31" i="11"/>
  <c r="AM43" i="11"/>
  <c r="AL43" i="11"/>
  <c r="AK43" i="11"/>
  <c r="AM66" i="11"/>
  <c r="AL66" i="11"/>
  <c r="AK66" i="11"/>
  <c r="AM60" i="11"/>
  <c r="AL60" i="11"/>
  <c r="AK60" i="11"/>
  <c r="AM59" i="11"/>
  <c r="AL59" i="11"/>
  <c r="AK59" i="11"/>
  <c r="AM58" i="11"/>
  <c r="AL58" i="11"/>
  <c r="AK58" i="11"/>
  <c r="AM49" i="11"/>
  <c r="AL49" i="11"/>
  <c r="AK49" i="11"/>
  <c r="AM48" i="11"/>
  <c r="AL48" i="11"/>
  <c r="AK48" i="11"/>
  <c r="AM47" i="11"/>
  <c r="AL47" i="11"/>
  <c r="AK47" i="11"/>
  <c r="AM46" i="11"/>
  <c r="AL46" i="11"/>
  <c r="AK46" i="11"/>
  <c r="AM45" i="11"/>
  <c r="AL45" i="11"/>
  <c r="AK45" i="11"/>
  <c r="AM44" i="11"/>
  <c r="AL44" i="11"/>
  <c r="AK44" i="11"/>
  <c r="AM42" i="11"/>
  <c r="AL42" i="11"/>
  <c r="AK42" i="11"/>
  <c r="AM41" i="11"/>
  <c r="AL41" i="11"/>
  <c r="AK41" i="11"/>
  <c r="AM40" i="11"/>
  <c r="AL40" i="11"/>
  <c r="AK40" i="11"/>
  <c r="AM39" i="11"/>
  <c r="AL39" i="11"/>
  <c r="AK39" i="11"/>
  <c r="AM38" i="11"/>
  <c r="AL38" i="11"/>
  <c r="AK38" i="11"/>
  <c r="AM37" i="11"/>
  <c r="AL37" i="11"/>
  <c r="AK37" i="11"/>
  <c r="AM36" i="11"/>
  <c r="AL36" i="11"/>
  <c r="AK36" i="11"/>
  <c r="AM35" i="11"/>
  <c r="AL35" i="11"/>
  <c r="AK35" i="11"/>
  <c r="AM34" i="11"/>
  <c r="AL34" i="11"/>
  <c r="AK34" i="11"/>
  <c r="AM33" i="11"/>
  <c r="AL33" i="11"/>
  <c r="AK33" i="11"/>
  <c r="AM32" i="11"/>
  <c r="AL32" i="11"/>
  <c r="AK32" i="11"/>
  <c r="AM30" i="11"/>
  <c r="AL30" i="11"/>
  <c r="AK30" i="11"/>
  <c r="AM29" i="11"/>
  <c r="AL29" i="11"/>
  <c r="AK29" i="11"/>
  <c r="AM28" i="11"/>
  <c r="AL28" i="11"/>
  <c r="AK28" i="11"/>
  <c r="AM27" i="11"/>
  <c r="AL27" i="11"/>
  <c r="AK27" i="11"/>
  <c r="AM26" i="11"/>
  <c r="AL26" i="11"/>
  <c r="AK26" i="11"/>
  <c r="AM25" i="11"/>
  <c r="AL25" i="11"/>
  <c r="AK25" i="11"/>
  <c r="AM24" i="11"/>
  <c r="AL24" i="11"/>
  <c r="AK24" i="11"/>
  <c r="AM23" i="11"/>
  <c r="AL23" i="11"/>
  <c r="AK23" i="11"/>
  <c r="AM22" i="11"/>
  <c r="AL22" i="11"/>
  <c r="AK22" i="11"/>
  <c r="AM21" i="11"/>
  <c r="AL21" i="11"/>
  <c r="AK21" i="11"/>
  <c r="AM20" i="11"/>
  <c r="AL20" i="11"/>
  <c r="AK20" i="11"/>
  <c r="AM19" i="11"/>
  <c r="AL19" i="11"/>
  <c r="AK19" i="11"/>
  <c r="AM18" i="11"/>
  <c r="AL18" i="11"/>
  <c r="AK18" i="11"/>
  <c r="AM17" i="11"/>
  <c r="AL17" i="11"/>
  <c r="AK17" i="11"/>
  <c r="AM16" i="11"/>
  <c r="AL16" i="11"/>
  <c r="AK16" i="11"/>
  <c r="AM15" i="11"/>
  <c r="AL15" i="11"/>
  <c r="AK15" i="11"/>
  <c r="AL14" i="11"/>
  <c r="AK14" i="11"/>
  <c r="M65" i="11"/>
  <c r="M64" i="11"/>
  <c r="M63" i="11"/>
  <c r="M59" i="11"/>
  <c r="M58" i="11"/>
  <c r="F66" i="11"/>
  <c r="E66" i="11"/>
  <c r="D66" i="11"/>
  <c r="F65" i="11"/>
  <c r="E65" i="11"/>
  <c r="D65" i="11"/>
  <c r="F64" i="11"/>
  <c r="E64" i="11"/>
  <c r="D64" i="11"/>
  <c r="F63" i="11"/>
  <c r="E63" i="11"/>
  <c r="D63" i="11"/>
  <c r="F62" i="11"/>
  <c r="E62" i="11"/>
  <c r="D62" i="11"/>
  <c r="F61" i="11"/>
  <c r="E61" i="11"/>
  <c r="D61" i="11"/>
  <c r="F60" i="11"/>
  <c r="E60" i="11"/>
  <c r="D60" i="11"/>
  <c r="F59" i="11"/>
  <c r="E59" i="11"/>
  <c r="D59" i="11"/>
  <c r="F58" i="11"/>
  <c r="E58" i="11"/>
  <c r="D58" i="11"/>
  <c r="F57" i="11"/>
  <c r="E57" i="11"/>
  <c r="D57" i="11"/>
  <c r="F53" i="11"/>
  <c r="E53" i="11"/>
  <c r="D53" i="11"/>
  <c r="F49" i="11"/>
  <c r="E49" i="11"/>
  <c r="D49" i="11"/>
  <c r="F48" i="11"/>
  <c r="E48" i="11"/>
  <c r="D48" i="11"/>
  <c r="F47" i="11"/>
  <c r="E47" i="11"/>
  <c r="D47" i="11"/>
  <c r="F46" i="11"/>
  <c r="E46" i="11"/>
  <c r="D46" i="11"/>
  <c r="F45" i="11"/>
  <c r="E45" i="11"/>
  <c r="D45" i="11"/>
  <c r="F44" i="11"/>
  <c r="E44" i="11"/>
  <c r="D44" i="11"/>
  <c r="F43" i="11"/>
  <c r="E43" i="11"/>
  <c r="D43" i="11"/>
  <c r="F42" i="11"/>
  <c r="E42" i="11"/>
  <c r="D42" i="11"/>
  <c r="F41" i="11"/>
  <c r="E41" i="11"/>
  <c r="D41" i="11"/>
  <c r="F40" i="11"/>
  <c r="E40" i="11"/>
  <c r="D40" i="11"/>
  <c r="F39" i="11"/>
  <c r="E39" i="11"/>
  <c r="D39" i="11"/>
  <c r="F38" i="11"/>
  <c r="E38" i="11"/>
  <c r="D38" i="11"/>
  <c r="F37" i="11"/>
  <c r="E37" i="11"/>
  <c r="D37" i="11"/>
  <c r="F36" i="11"/>
  <c r="E36" i="11"/>
  <c r="D36" i="11"/>
  <c r="F35" i="11"/>
  <c r="E35" i="11"/>
  <c r="D35" i="11"/>
  <c r="F34" i="11"/>
  <c r="E34" i="11"/>
  <c r="D34" i="11"/>
  <c r="F33" i="11"/>
  <c r="E33" i="11"/>
  <c r="D33" i="11"/>
  <c r="F32" i="11"/>
  <c r="E32" i="11"/>
  <c r="D32" i="11"/>
  <c r="F30" i="11"/>
  <c r="E30" i="11"/>
  <c r="D30" i="11"/>
  <c r="F29" i="11"/>
  <c r="E29" i="11"/>
  <c r="D29" i="11"/>
  <c r="F28" i="11"/>
  <c r="E28" i="11"/>
  <c r="D28" i="11"/>
  <c r="F27" i="11"/>
  <c r="E27" i="11"/>
  <c r="D27" i="11"/>
  <c r="F26" i="11"/>
  <c r="E26" i="11"/>
  <c r="D26" i="11"/>
  <c r="F25" i="11"/>
  <c r="E25" i="11"/>
  <c r="D25" i="11"/>
  <c r="F24" i="11"/>
  <c r="E24" i="11"/>
  <c r="D24" i="11"/>
  <c r="F23" i="11"/>
  <c r="E23" i="11"/>
  <c r="D23" i="11"/>
  <c r="F22" i="11"/>
  <c r="E22" i="11"/>
  <c r="D22" i="11"/>
  <c r="F21" i="11"/>
  <c r="E21" i="11"/>
  <c r="D21" i="11"/>
  <c r="F20" i="11"/>
  <c r="E20" i="11"/>
  <c r="D20" i="11"/>
  <c r="F19" i="11"/>
  <c r="E19" i="11"/>
  <c r="D19" i="11"/>
  <c r="F18" i="11"/>
  <c r="E18" i="11"/>
  <c r="D18" i="11"/>
  <c r="F17" i="11"/>
  <c r="E17" i="11"/>
  <c r="D17" i="11"/>
  <c r="F16" i="11"/>
  <c r="E16" i="11"/>
  <c r="D16" i="11"/>
  <c r="F15" i="11"/>
  <c r="E15" i="11"/>
  <c r="D15" i="11"/>
  <c r="E14" i="11"/>
  <c r="D14" i="11"/>
  <c r="M66" i="11"/>
  <c r="M62" i="11"/>
  <c r="M61" i="11"/>
  <c r="M57" i="11"/>
  <c r="M53" i="11"/>
  <c r="M49" i="11"/>
  <c r="M46" i="11"/>
  <c r="M45" i="11"/>
  <c r="M44" i="11"/>
  <c r="M48" i="11" s="1"/>
  <c r="N48" i="11" s="1"/>
  <c r="O48" i="11" s="1"/>
  <c r="AH48" i="11" s="1"/>
  <c r="AI48" i="11" s="1"/>
  <c r="M43" i="11"/>
  <c r="M42" i="11"/>
  <c r="M40" i="11"/>
  <c r="M39" i="11"/>
  <c r="M38" i="11"/>
  <c r="M37" i="11"/>
  <c r="M36" i="11"/>
  <c r="M35" i="11"/>
  <c r="M34" i="11"/>
  <c r="M33" i="11"/>
  <c r="M32" i="11"/>
  <c r="M30" i="11"/>
  <c r="M29" i="11"/>
  <c r="M28" i="11"/>
  <c r="M27" i="11"/>
  <c r="M26" i="11"/>
  <c r="M25" i="11"/>
  <c r="M24" i="11"/>
  <c r="M23" i="11"/>
  <c r="M22" i="11"/>
  <c r="M21" i="11"/>
  <c r="M20" i="11"/>
  <c r="M19" i="11"/>
  <c r="M18" i="11"/>
  <c r="M17" i="11"/>
  <c r="K17" i="11"/>
  <c r="N17" i="11" s="1"/>
  <c r="O17" i="11" s="1"/>
  <c r="L17" i="11"/>
  <c r="M16" i="11"/>
  <c r="M15" i="11"/>
  <c r="M14" i="11"/>
  <c r="M60" i="11"/>
  <c r="M47" i="11"/>
  <c r="S27" i="11"/>
  <c r="R27" i="11"/>
  <c r="AC27" i="11" s="1"/>
  <c r="Q27" i="11"/>
  <c r="Z27" i="11" s="1"/>
  <c r="P27" i="11"/>
  <c r="L27" i="11"/>
  <c r="K27" i="11"/>
  <c r="N27" i="11" s="1"/>
  <c r="O27" i="11" s="1"/>
  <c r="C27" i="11"/>
  <c r="I7" i="11"/>
  <c r="I8" i="11"/>
  <c r="AN14" i="11" s="1"/>
  <c r="AO14" i="11" s="1"/>
  <c r="AM14" i="11"/>
  <c r="F14" i="11"/>
  <c r="C60" i="11"/>
  <c r="P60" i="11" s="1"/>
  <c r="Q60" i="11"/>
  <c r="Z60" i="11"/>
  <c r="R60" i="11"/>
  <c r="AC60" i="11"/>
  <c r="L60" i="11"/>
  <c r="K60" i="11"/>
  <c r="AH11" i="11"/>
  <c r="AH8" i="11"/>
  <c r="S29" i="11"/>
  <c r="R29" i="11"/>
  <c r="AC29" i="11"/>
  <c r="Q29" i="11"/>
  <c r="Z29" i="11" s="1"/>
  <c r="P29" i="11"/>
  <c r="K29" i="11"/>
  <c r="N29" i="11" s="1"/>
  <c r="O29" i="11" s="1"/>
  <c r="C29" i="11"/>
  <c r="S46" i="11"/>
  <c r="R46" i="11"/>
  <c r="AC46" i="11"/>
  <c r="Q46" i="11"/>
  <c r="Z46" i="11" s="1"/>
  <c r="P46" i="11"/>
  <c r="K46" i="11"/>
  <c r="L46" i="11"/>
  <c r="C46" i="11"/>
  <c r="L26" i="11"/>
  <c r="S26" i="11"/>
  <c r="R26" i="11"/>
  <c r="AC26" i="11" s="1"/>
  <c r="K26" i="11"/>
  <c r="AE11" i="11"/>
  <c r="Q26" i="11"/>
  <c r="Z26" i="11"/>
  <c r="P26" i="11"/>
  <c r="C26" i="11"/>
  <c r="S43" i="11"/>
  <c r="R43" i="11"/>
  <c r="AC43" i="11" s="1"/>
  <c r="Q43" i="11"/>
  <c r="Z43" i="11" s="1"/>
  <c r="P43" i="11"/>
  <c r="L43" i="11"/>
  <c r="K43" i="11"/>
  <c r="N43" i="11" s="1"/>
  <c r="O43" i="11" s="1"/>
  <c r="AH43" i="11" s="1"/>
  <c r="AI43" i="11" s="1"/>
  <c r="C43" i="11"/>
  <c r="S16" i="11"/>
  <c r="R16" i="11"/>
  <c r="AC16" i="11"/>
  <c r="Q16" i="11"/>
  <c r="Z16" i="11" s="1"/>
  <c r="P16" i="11"/>
  <c r="L16" i="11"/>
  <c r="K16" i="11"/>
  <c r="C16" i="11"/>
  <c r="S18" i="11"/>
  <c r="R18" i="11"/>
  <c r="AC18" i="11" s="1"/>
  <c r="Q18" i="11"/>
  <c r="Z18" i="11" s="1"/>
  <c r="P18" i="11"/>
  <c r="L18" i="11"/>
  <c r="K18" i="11"/>
  <c r="C18" i="11"/>
  <c r="L53" i="11"/>
  <c r="C17" i="11"/>
  <c r="S17" i="11"/>
  <c r="R17" i="11"/>
  <c r="AC17" i="11"/>
  <c r="Q17" i="11"/>
  <c r="Z17" i="11"/>
  <c r="P17" i="11"/>
  <c r="C24" i="11"/>
  <c r="S24" i="11"/>
  <c r="R24" i="11"/>
  <c r="AC24" i="11" s="1"/>
  <c r="Q24" i="11"/>
  <c r="Z24" i="11" s="1"/>
  <c r="P24" i="11"/>
  <c r="L24" i="11"/>
  <c r="K24" i="11"/>
  <c r="C38" i="11"/>
  <c r="S38" i="11"/>
  <c r="R38" i="11"/>
  <c r="AC38" i="11"/>
  <c r="Q38" i="11"/>
  <c r="Z38" i="11"/>
  <c r="P38" i="11"/>
  <c r="L38" i="11"/>
  <c r="K38" i="11"/>
  <c r="C22" i="11"/>
  <c r="S22" i="11"/>
  <c r="R22" i="11"/>
  <c r="AC22" i="11" s="1"/>
  <c r="K22" i="11"/>
  <c r="L22" i="11"/>
  <c r="Q22" i="11"/>
  <c r="Z22" i="11" s="1"/>
  <c r="P22" i="11"/>
  <c r="C15" i="11"/>
  <c r="S15" i="11"/>
  <c r="R15" i="11"/>
  <c r="AC15" i="11"/>
  <c r="K15" i="11"/>
  <c r="L15" i="11"/>
  <c r="Q15" i="11"/>
  <c r="Z15" i="11"/>
  <c r="P15" i="11"/>
  <c r="L61" i="11"/>
  <c r="L57" i="11"/>
  <c r="L49" i="11"/>
  <c r="L45" i="11"/>
  <c r="L44" i="11"/>
  <c r="L42" i="11"/>
  <c r="K42" i="11"/>
  <c r="L41" i="11"/>
  <c r="L40" i="11"/>
  <c r="L39" i="11"/>
  <c r="L37" i="11"/>
  <c r="L36" i="11"/>
  <c r="L35" i="11"/>
  <c r="N35" i="11" s="1"/>
  <c r="O35" i="11" s="1"/>
  <c r="AH35" i="11" s="1"/>
  <c r="AI35" i="11" s="1"/>
  <c r="K35" i="11"/>
  <c r="L34" i="11"/>
  <c r="L33" i="11"/>
  <c r="K33" i="11"/>
  <c r="L32" i="11"/>
  <c r="L30" i="11"/>
  <c r="L28" i="11"/>
  <c r="L25" i="11"/>
  <c r="L23" i="11"/>
  <c r="L21" i="11"/>
  <c r="L20" i="11"/>
  <c r="L19" i="11"/>
  <c r="L14" i="11"/>
  <c r="L66" i="11"/>
  <c r="L65" i="11"/>
  <c r="L64" i="11"/>
  <c r="L63" i="11"/>
  <c r="K63" i="11"/>
  <c r="L62" i="11"/>
  <c r="L59" i="11"/>
  <c r="L58" i="11"/>
  <c r="C48" i="11"/>
  <c r="AD8" i="11"/>
  <c r="AF11" i="11"/>
  <c r="C14" i="11"/>
  <c r="K14" i="11"/>
  <c r="P14" i="11"/>
  <c r="Q14" i="11"/>
  <c r="Z14" i="11" s="1"/>
  <c r="R14" i="11"/>
  <c r="AC14" i="11" s="1"/>
  <c r="S14" i="11"/>
  <c r="C19" i="11"/>
  <c r="K19" i="11"/>
  <c r="N19" i="11" s="1"/>
  <c r="O19" i="11" s="1"/>
  <c r="S19" i="11"/>
  <c r="P19" i="11"/>
  <c r="Q19" i="11"/>
  <c r="Z19" i="11"/>
  <c r="R19" i="11"/>
  <c r="AC19" i="11" s="1"/>
  <c r="C20" i="11"/>
  <c r="K20" i="11"/>
  <c r="N20" i="11" s="1"/>
  <c r="O20" i="11" s="1"/>
  <c r="S20" i="11"/>
  <c r="P20" i="11"/>
  <c r="Q20" i="11"/>
  <c r="Z20" i="11" s="1"/>
  <c r="R20" i="11"/>
  <c r="AC20" i="11" s="1"/>
  <c r="C21" i="11"/>
  <c r="K21" i="11"/>
  <c r="P21" i="11"/>
  <c r="Q21" i="11"/>
  <c r="Z21" i="11" s="1"/>
  <c r="R21" i="11"/>
  <c r="AC21" i="11" s="1"/>
  <c r="S21" i="11"/>
  <c r="C23" i="11"/>
  <c r="K23" i="11"/>
  <c r="P23" i="11"/>
  <c r="Q23" i="11"/>
  <c r="Z23" i="11" s="1"/>
  <c r="R23" i="11"/>
  <c r="AC23" i="11" s="1"/>
  <c r="S23" i="11"/>
  <c r="C25" i="11"/>
  <c r="K25" i="11"/>
  <c r="S25" i="11"/>
  <c r="P25" i="11"/>
  <c r="Q25" i="11"/>
  <c r="Z25" i="11"/>
  <c r="R25" i="11"/>
  <c r="AC25" i="11" s="1"/>
  <c r="C28" i="11"/>
  <c r="K28" i="11"/>
  <c r="P28" i="11"/>
  <c r="Q28" i="11"/>
  <c r="Z28" i="11" s="1"/>
  <c r="R28" i="11"/>
  <c r="AC28" i="11" s="1"/>
  <c r="S28" i="11"/>
  <c r="C30" i="11"/>
  <c r="K30" i="11"/>
  <c r="N30" i="11" s="1"/>
  <c r="O30" i="11" s="1"/>
  <c r="P30" i="11"/>
  <c r="Q30" i="11"/>
  <c r="Z30" i="11" s="1"/>
  <c r="R30" i="11"/>
  <c r="AC30" i="11" s="1"/>
  <c r="S30" i="11"/>
  <c r="C32" i="11"/>
  <c r="K32" i="11"/>
  <c r="P32" i="11"/>
  <c r="Q32" i="11"/>
  <c r="Z32" i="11" s="1"/>
  <c r="R32" i="11"/>
  <c r="AC32" i="11" s="1"/>
  <c r="S32" i="11"/>
  <c r="C33" i="11"/>
  <c r="P33" i="11"/>
  <c r="Q33" i="11"/>
  <c r="Z33" i="11" s="1"/>
  <c r="R33" i="11"/>
  <c r="AC33" i="11"/>
  <c r="S33" i="11"/>
  <c r="C34" i="11"/>
  <c r="K34" i="11"/>
  <c r="S34" i="11"/>
  <c r="P34" i="11"/>
  <c r="Q34" i="11"/>
  <c r="Z34" i="11" s="1"/>
  <c r="R34" i="11"/>
  <c r="AC34" i="11" s="1"/>
  <c r="C35" i="11"/>
  <c r="P35" i="11"/>
  <c r="Q35" i="11"/>
  <c r="Z35" i="11" s="1"/>
  <c r="R35" i="11"/>
  <c r="AC35" i="11" s="1"/>
  <c r="S35" i="11"/>
  <c r="C36" i="11"/>
  <c r="K36" i="11"/>
  <c r="R36" i="11"/>
  <c r="AC36" i="11" s="1"/>
  <c r="S36" i="11"/>
  <c r="P36" i="11"/>
  <c r="Q36" i="11"/>
  <c r="Z36" i="11" s="1"/>
  <c r="C37" i="11"/>
  <c r="K37" i="11"/>
  <c r="P37" i="11"/>
  <c r="Q37" i="11"/>
  <c r="Z37" i="11"/>
  <c r="R37" i="11"/>
  <c r="AC37" i="11" s="1"/>
  <c r="S37" i="11"/>
  <c r="C39" i="11"/>
  <c r="K39" i="11"/>
  <c r="N39" i="11" s="1"/>
  <c r="O39" i="11" s="1"/>
  <c r="P39" i="11"/>
  <c r="Q39" i="11"/>
  <c r="Z39" i="11" s="1"/>
  <c r="R39" i="11"/>
  <c r="AC39" i="11"/>
  <c r="S39" i="11"/>
  <c r="C40" i="11"/>
  <c r="K40" i="11"/>
  <c r="P40" i="11"/>
  <c r="Q40" i="11"/>
  <c r="Z40" i="11" s="1"/>
  <c r="R40" i="11"/>
  <c r="AC40" i="11" s="1"/>
  <c r="S40" i="11"/>
  <c r="C41" i="11"/>
  <c r="K41" i="11"/>
  <c r="N41" i="11" s="1"/>
  <c r="O41" i="11" s="1"/>
  <c r="AD41" i="11" s="1"/>
  <c r="S41" i="11"/>
  <c r="P41" i="11"/>
  <c r="Q41" i="11"/>
  <c r="Z41" i="11" s="1"/>
  <c r="R41" i="11"/>
  <c r="AC41" i="11" s="1"/>
  <c r="AG41" i="11"/>
  <c r="C42" i="11"/>
  <c r="P42" i="11"/>
  <c r="Q42" i="11"/>
  <c r="Z42" i="11" s="1"/>
  <c r="R42" i="11"/>
  <c r="AC42" i="11" s="1"/>
  <c r="S42" i="11"/>
  <c r="C44" i="11"/>
  <c r="K44" i="11"/>
  <c r="S44" i="11"/>
  <c r="P44" i="11"/>
  <c r="Q44" i="11"/>
  <c r="Z44" i="11" s="1"/>
  <c r="R44" i="11"/>
  <c r="AC44" i="11"/>
  <c r="K45" i="11"/>
  <c r="P45" i="11"/>
  <c r="Q45" i="11"/>
  <c r="Z45" i="11" s="1"/>
  <c r="R45" i="11"/>
  <c r="AC45" i="11" s="1"/>
  <c r="S45" i="11"/>
  <c r="C47" i="11"/>
  <c r="P47" i="11"/>
  <c r="Q47" i="11"/>
  <c r="Z47" i="11" s="1"/>
  <c r="S47" i="11"/>
  <c r="R47" i="11"/>
  <c r="AC47" i="11" s="1"/>
  <c r="AG47" i="11"/>
  <c r="P48" i="11"/>
  <c r="Q48" i="11"/>
  <c r="Z48" i="11" s="1"/>
  <c r="R48" i="11"/>
  <c r="AC48" i="11" s="1"/>
  <c r="S48" i="11"/>
  <c r="C49" i="11"/>
  <c r="K49" i="11"/>
  <c r="P49" i="11"/>
  <c r="Q49" i="11"/>
  <c r="Z49" i="11" s="1"/>
  <c r="R49" i="11"/>
  <c r="AC49" i="11"/>
  <c r="S49" i="11"/>
  <c r="C53" i="11"/>
  <c r="K53" i="11"/>
  <c r="N53" i="11" s="1"/>
  <c r="O53" i="11" s="1"/>
  <c r="R53" i="11"/>
  <c r="AC53" i="11"/>
  <c r="S53" i="11"/>
  <c r="V55" i="11"/>
  <c r="AB55" i="11"/>
  <c r="C57" i="11"/>
  <c r="R57" i="11"/>
  <c r="AC57" i="11" s="1"/>
  <c r="S57" i="11"/>
  <c r="C58" i="11"/>
  <c r="P58" i="11"/>
  <c r="Q58" i="11"/>
  <c r="Z58" i="11" s="1"/>
  <c r="R58" i="11"/>
  <c r="AC58" i="11"/>
  <c r="S58" i="11"/>
  <c r="C59" i="11"/>
  <c r="P59" i="11"/>
  <c r="Q59" i="11"/>
  <c r="Z59" i="11" s="1"/>
  <c r="R59" i="11"/>
  <c r="AC59" i="11" s="1"/>
  <c r="S59" i="11"/>
  <c r="AG59" i="11"/>
  <c r="C61" i="11"/>
  <c r="K61" i="11"/>
  <c r="S61" i="11"/>
  <c r="R61" i="11"/>
  <c r="AC61" i="11" s="1"/>
  <c r="C62" i="11"/>
  <c r="K62" i="11"/>
  <c r="R62" i="11"/>
  <c r="S62" i="11"/>
  <c r="C63" i="11"/>
  <c r="R63" i="11"/>
  <c r="S63" i="11"/>
  <c r="C64" i="11"/>
  <c r="K64" i="11"/>
  <c r="R64" i="11"/>
  <c r="S64" i="11"/>
  <c r="C65" i="11"/>
  <c r="K65" i="11"/>
  <c r="S65" i="11"/>
  <c r="R65" i="11"/>
  <c r="C66" i="11"/>
  <c r="K66" i="11"/>
  <c r="S66" i="11"/>
  <c r="P66" i="11"/>
  <c r="Q66" i="11"/>
  <c r="Z66" i="11" s="1"/>
  <c r="R66" i="11"/>
  <c r="AC66" i="11" s="1"/>
  <c r="K59" i="11"/>
  <c r="K58" i="11"/>
  <c r="K57" i="11"/>
  <c r="C45" i="11"/>
  <c r="G36" i="11"/>
  <c r="H36" i="11" s="1"/>
  <c r="G49" i="11"/>
  <c r="H49" i="11" s="1"/>
  <c r="I49" i="11" s="1"/>
  <c r="J49" i="11" s="1"/>
  <c r="B23" i="10"/>
  <c r="G8" i="10"/>
  <c r="G7" i="10"/>
  <c r="G6" i="10"/>
  <c r="G5" i="10"/>
  <c r="G4" i="10"/>
  <c r="C45" i="10"/>
  <c r="C53" i="10"/>
  <c r="B53" i="10"/>
  <c r="D53" i="10" s="1"/>
  <c r="G23" i="10"/>
  <c r="F23" i="10"/>
  <c r="F35" i="10"/>
  <c r="A11" i="10"/>
  <c r="E23" i="10"/>
  <c r="B46" i="10"/>
  <c r="B48" i="10" s="1"/>
  <c r="D45" i="10" s="1"/>
  <c r="E35" i="10"/>
  <c r="B8" i="10"/>
  <c r="C13" i="10"/>
  <c r="H11" i="10"/>
  <c r="B4" i="10" s="1"/>
  <c r="F11" i="10"/>
  <c r="D11" i="10"/>
  <c r="C11" i="10"/>
  <c r="B11" i="10"/>
  <c r="B5" i="10"/>
  <c r="B7" i="10"/>
  <c r="B6" i="10"/>
  <c r="K14" i="10"/>
  <c r="K13" i="10"/>
  <c r="K12" i="10"/>
  <c r="K11" i="10"/>
  <c r="K10" i="10"/>
  <c r="K9" i="10"/>
  <c r="K8" i="10"/>
  <c r="K7" i="10"/>
  <c r="A13" i="10"/>
  <c r="F34" i="10"/>
  <c r="B34" i="10"/>
  <c r="I34" i="10" s="1"/>
  <c r="G34" i="10"/>
  <c r="E34" i="10"/>
  <c r="C34" i="10"/>
  <c r="D34" i="10"/>
  <c r="D23" i="10"/>
  <c r="C23" i="10"/>
  <c r="B47" i="10"/>
  <c r="G33" i="10"/>
  <c r="F33" i="10"/>
  <c r="E33" i="10"/>
  <c r="D33" i="10"/>
  <c r="C33" i="10"/>
  <c r="G35" i="10"/>
  <c r="D35" i="10"/>
  <c r="C35" i="10"/>
  <c r="B35" i="10"/>
  <c r="I27" i="10"/>
  <c r="B12" i="15"/>
  <c r="B14" i="15" s="1"/>
  <c r="E12" i="15"/>
  <c r="E14" i="15" s="1"/>
  <c r="E18" i="15" s="1"/>
  <c r="B24" i="15"/>
  <c r="C12" i="15"/>
  <c r="C14" i="15" s="1"/>
  <c r="C18" i="15" s="1"/>
  <c r="C25" i="15"/>
  <c r="F12" i="15"/>
  <c r="F14" i="15" s="1"/>
  <c r="D12" i="15"/>
  <c r="F25" i="15"/>
  <c r="F24" i="15"/>
  <c r="F6" i="15"/>
  <c r="E25" i="15"/>
  <c r="D25" i="15"/>
  <c r="E24" i="15"/>
  <c r="D24" i="15"/>
  <c r="C24" i="15"/>
  <c r="E6" i="15"/>
  <c r="D6" i="15"/>
  <c r="C6" i="15"/>
  <c r="B25" i="15"/>
  <c r="B6" i="15"/>
  <c r="AN40" i="11" l="1"/>
  <c r="AO40" i="11" s="1"/>
  <c r="N58" i="11"/>
  <c r="O58" i="11" s="1"/>
  <c r="I36" i="11"/>
  <c r="J36" i="11" s="1"/>
  <c r="N31" i="11"/>
  <c r="O31" i="11" s="1"/>
  <c r="Y31" i="11" s="1"/>
  <c r="AN32" i="11"/>
  <c r="E6" i="10"/>
  <c r="F6" i="10" s="1"/>
  <c r="H6" i="10" s="1"/>
  <c r="AD20" i="11"/>
  <c r="N33" i="11"/>
  <c r="O33" i="11" s="1"/>
  <c r="AH33" i="11" s="1"/>
  <c r="AI33" i="11" s="1"/>
  <c r="N40" i="11"/>
  <c r="O40" i="11" s="1"/>
  <c r="AH40" i="11" s="1"/>
  <c r="AI40" i="11" s="1"/>
  <c r="Y43" i="11"/>
  <c r="N26" i="11"/>
  <c r="O26" i="11" s="1"/>
  <c r="AH26" i="11" s="1"/>
  <c r="AI26" i="11" s="1"/>
  <c r="AN36" i="11"/>
  <c r="AO36" i="11" s="1"/>
  <c r="U36" i="11" s="1"/>
  <c r="Y41" i="11"/>
  <c r="G32" i="11"/>
  <c r="H32" i="11" s="1"/>
  <c r="I32" i="11" s="1"/>
  <c r="J32" i="11" s="1"/>
  <c r="T32" i="11" s="1"/>
  <c r="AN28" i="11"/>
  <c r="AO28" i="11" s="1"/>
  <c r="N44" i="11"/>
  <c r="O44" i="11" s="1"/>
  <c r="AH44" i="11" s="1"/>
  <c r="AI44" i="11" s="1"/>
  <c r="N38" i="11"/>
  <c r="O38" i="11" s="1"/>
  <c r="N16" i="11"/>
  <c r="O16" i="11" s="1"/>
  <c r="AH16" i="11" s="1"/>
  <c r="AI16" i="11" s="1"/>
  <c r="Y20" i="11"/>
  <c r="AB44" i="11"/>
  <c r="N47" i="11"/>
  <c r="O47" i="11" s="1"/>
  <c r="AH47" i="11" s="1"/>
  <c r="AI47" i="11" s="1"/>
  <c r="D13" i="10"/>
  <c r="AN24" i="11"/>
  <c r="AO24" i="11" s="1"/>
  <c r="U24" i="11" s="1"/>
  <c r="AN43" i="11"/>
  <c r="AB41" i="11"/>
  <c r="AN35" i="11"/>
  <c r="AO35" i="11" s="1"/>
  <c r="N66" i="11"/>
  <c r="O66" i="11" s="1"/>
  <c r="AB45" i="11"/>
  <c r="N42" i="11"/>
  <c r="O42" i="11" s="1"/>
  <c r="AH42" i="11" s="1"/>
  <c r="AI42" i="11" s="1"/>
  <c r="AN27" i="11"/>
  <c r="AO27" i="11" s="1"/>
  <c r="U27" i="11" s="1"/>
  <c r="V27" i="11" s="1"/>
  <c r="N45" i="11"/>
  <c r="O45" i="11" s="1"/>
  <c r="AH45" i="11" s="1"/>
  <c r="AI45" i="11" s="1"/>
  <c r="N34" i="11"/>
  <c r="O34" i="11" s="1"/>
  <c r="AH34" i="11" s="1"/>
  <c r="AI34" i="11" s="1"/>
  <c r="Y39" i="11"/>
  <c r="AH19" i="11"/>
  <c r="AI19" i="11" s="1"/>
  <c r="Y19" i="11"/>
  <c r="AD19" i="11"/>
  <c r="AE19" i="11" s="1"/>
  <c r="G22" i="10"/>
  <c r="G27" i="10" s="1"/>
  <c r="D22" i="10"/>
  <c r="D27" i="10" s="1"/>
  <c r="U14" i="11"/>
  <c r="Y16" i="11"/>
  <c r="AD16" i="11"/>
  <c r="AF16" i="11" s="1"/>
  <c r="AB58" i="11"/>
  <c r="AB68" i="11" s="1"/>
  <c r="AB19" i="11"/>
  <c r="AD53" i="11"/>
  <c r="AE53" i="11" s="1"/>
  <c r="AE55" i="11" s="1"/>
  <c r="AH53" i="11"/>
  <c r="AH55" i="11" s="1"/>
  <c r="Y53" i="11"/>
  <c r="Y55" i="11" s="1"/>
  <c r="AN59" i="11"/>
  <c r="AO59" i="11" s="1"/>
  <c r="U59" i="11" s="1"/>
  <c r="V59" i="11" s="1"/>
  <c r="G37" i="11"/>
  <c r="H37" i="11" s="1"/>
  <c r="E30" i="10"/>
  <c r="S60" i="11"/>
  <c r="AN23" i="11"/>
  <c r="AN34" i="11"/>
  <c r="AO34" i="11" s="1"/>
  <c r="U34" i="11" s="1"/>
  <c r="V34" i="11" s="1"/>
  <c r="G53" i="11"/>
  <c r="H53" i="11" s="1"/>
  <c r="I53" i="11" s="1"/>
  <c r="J53" i="11" s="1"/>
  <c r="T53" i="11" s="1"/>
  <c r="T55" i="11" s="1"/>
  <c r="G23" i="11"/>
  <c r="H23" i="11" s="1"/>
  <c r="I23" i="11" s="1"/>
  <c r="J23" i="11" s="1"/>
  <c r="N15" i="11"/>
  <c r="O15" i="11" s="1"/>
  <c r="I37" i="11"/>
  <c r="J37" i="11" s="1"/>
  <c r="AD45" i="11"/>
  <c r="AO43" i="11"/>
  <c r="U43" i="11" s="1"/>
  <c r="V43" i="11" s="1"/>
  <c r="AD26" i="11"/>
  <c r="G33" i="11"/>
  <c r="H33" i="11" s="1"/>
  <c r="I33" i="11" s="1"/>
  <c r="J33" i="11" s="1"/>
  <c r="T33" i="11" s="1"/>
  <c r="G24" i="11"/>
  <c r="H24" i="11" s="1"/>
  <c r="I24" i="11" s="1"/>
  <c r="J24" i="11" s="1"/>
  <c r="G44" i="11"/>
  <c r="H44" i="11" s="1"/>
  <c r="I44" i="11" s="1"/>
  <c r="J44" i="11" s="1"/>
  <c r="T44" i="11" s="1"/>
  <c r="G17" i="11"/>
  <c r="H17" i="11" s="1"/>
  <c r="AD58" i="11"/>
  <c r="AF58" i="11" s="1"/>
  <c r="N49" i="11"/>
  <c r="O49" i="11" s="1"/>
  <c r="AH49" i="11" s="1"/>
  <c r="AI49" i="11" s="1"/>
  <c r="AD15" i="11"/>
  <c r="AF15" i="11" s="1"/>
  <c r="AB17" i="11"/>
  <c r="AB43" i="11"/>
  <c r="Y27" i="11"/>
  <c r="Y38" i="11"/>
  <c r="N23" i="11"/>
  <c r="O23" i="11" s="1"/>
  <c r="Y23" i="11" s="1"/>
  <c r="G47" i="11"/>
  <c r="H47" i="11" s="1"/>
  <c r="I47" i="11" s="1"/>
  <c r="J47" i="11" s="1"/>
  <c r="G35" i="11"/>
  <c r="H35" i="11" s="1"/>
  <c r="I35" i="11" s="1"/>
  <c r="J35" i="11" s="1"/>
  <c r="T35" i="11" s="1"/>
  <c r="AN42" i="11"/>
  <c r="AO42" i="11" s="1"/>
  <c r="U42" i="11" s="1"/>
  <c r="V42" i="11" s="1"/>
  <c r="AB47" i="11"/>
  <c r="AN33" i="11"/>
  <c r="AO33" i="11" s="1"/>
  <c r="G42" i="11"/>
  <c r="H42" i="11" s="1"/>
  <c r="I42" i="11" s="1"/>
  <c r="J42" i="11" s="1"/>
  <c r="G14" i="11"/>
  <c r="H14" i="11" s="1"/>
  <c r="AN26" i="11"/>
  <c r="AO26" i="11" s="1"/>
  <c r="AD48" i="11"/>
  <c r="AE48" i="11" s="1"/>
  <c r="N36" i="11"/>
  <c r="O36" i="11" s="1"/>
  <c r="Y36" i="11" s="1"/>
  <c r="N57" i="11"/>
  <c r="O57" i="11" s="1"/>
  <c r="Y57" i="11" s="1"/>
  <c r="Y68" i="11" s="1"/>
  <c r="N46" i="11"/>
  <c r="O46" i="11" s="1"/>
  <c r="Y46" i="11" s="1"/>
  <c r="AD35" i="11"/>
  <c r="H7" i="10"/>
  <c r="AB26" i="11"/>
  <c r="G57" i="11"/>
  <c r="H57" i="11" s="1"/>
  <c r="I57" i="11" s="1"/>
  <c r="J57" i="11" s="1"/>
  <c r="AD40" i="11"/>
  <c r="AF40" i="11" s="1"/>
  <c r="E4" i="10"/>
  <c r="F4" i="10" s="1"/>
  <c r="H4" i="10" s="1"/>
  <c r="H9" i="10" s="1"/>
  <c r="AN21" i="11"/>
  <c r="AO21" i="11" s="1"/>
  <c r="AN25" i="11"/>
  <c r="AO25" i="11" s="1"/>
  <c r="U25" i="11" s="1"/>
  <c r="V25" i="11" s="1"/>
  <c r="E5" i="10"/>
  <c r="F5" i="10" s="1"/>
  <c r="H5" i="10" s="1"/>
  <c r="E8" i="10"/>
  <c r="F8" i="10" s="1"/>
  <c r="H8" i="10" s="1"/>
  <c r="G62" i="11"/>
  <c r="H62" i="11" s="1"/>
  <c r="I62" i="11" s="1"/>
  <c r="J62" i="11" s="1"/>
  <c r="T62" i="11" s="1"/>
  <c r="G16" i="11"/>
  <c r="H16" i="11" s="1"/>
  <c r="I16" i="11" s="1"/>
  <c r="J16" i="11" s="1"/>
  <c r="T16" i="11" s="1"/>
  <c r="AN16" i="11"/>
  <c r="AO16" i="11" s="1"/>
  <c r="U16" i="11" s="1"/>
  <c r="V16" i="11" s="1"/>
  <c r="G21" i="11"/>
  <c r="H21" i="11" s="1"/>
  <c r="I21" i="11" s="1"/>
  <c r="J21" i="11" s="1"/>
  <c r="T21" i="11" s="1"/>
  <c r="AN58" i="11"/>
  <c r="AO58" i="11" s="1"/>
  <c r="U58" i="11" s="1"/>
  <c r="V58" i="11" s="1"/>
  <c r="V68" i="11" s="1"/>
  <c r="G20" i="11"/>
  <c r="H20" i="11" s="1"/>
  <c r="I20" i="11" s="1"/>
  <c r="J20" i="11" s="1"/>
  <c r="T20" i="11" s="1"/>
  <c r="N59" i="11"/>
  <c r="O59" i="11" s="1"/>
  <c r="Y59" i="11" s="1"/>
  <c r="N21" i="11"/>
  <c r="O21" i="11" s="1"/>
  <c r="AD43" i="11"/>
  <c r="AE43" i="11" s="1"/>
  <c r="N60" i="11"/>
  <c r="O60" i="11" s="1"/>
  <c r="AD60" i="11" s="1"/>
  <c r="N62" i="11"/>
  <c r="O62" i="11" s="1"/>
  <c r="AO23" i="11"/>
  <c r="U23" i="11" s="1"/>
  <c r="V23" i="11" s="1"/>
  <c r="G18" i="11"/>
  <c r="H18" i="11" s="1"/>
  <c r="I18" i="11" s="1"/>
  <c r="J18" i="11" s="1"/>
  <c r="G29" i="11"/>
  <c r="H29" i="11" s="1"/>
  <c r="I29" i="11" s="1"/>
  <c r="J29" i="11" s="1"/>
  <c r="T29" i="11" s="1"/>
  <c r="AN60" i="11"/>
  <c r="AO60" i="11" s="1"/>
  <c r="U60" i="11" s="1"/>
  <c r="V60" i="11" s="1"/>
  <c r="AD44" i="11"/>
  <c r="E7" i="10"/>
  <c r="F7" i="10" s="1"/>
  <c r="G19" i="11"/>
  <c r="H19" i="11" s="1"/>
  <c r="I19" i="11" s="1"/>
  <c r="J19" i="11" s="1"/>
  <c r="T19" i="11" s="1"/>
  <c r="G22" i="11"/>
  <c r="H22" i="11" s="1"/>
  <c r="I22" i="11" s="1"/>
  <c r="J22" i="11" s="1"/>
  <c r="G27" i="11"/>
  <c r="H27" i="11" s="1"/>
  <c r="G28" i="11"/>
  <c r="H28" i="11" s="1"/>
  <c r="I28" i="11" s="1"/>
  <c r="J28" i="11" s="1"/>
  <c r="T28" i="11" s="1"/>
  <c r="AH41" i="11"/>
  <c r="AI41" i="11" s="1"/>
  <c r="N37" i="11"/>
  <c r="O37" i="11" s="1"/>
  <c r="U33" i="11"/>
  <c r="V33" i="11" s="1"/>
  <c r="N28" i="11"/>
  <c r="O28" i="11" s="1"/>
  <c r="Y28" i="11" s="1"/>
  <c r="B18" i="15"/>
  <c r="B22" i="15" s="1"/>
  <c r="B28" i="15" s="1"/>
  <c r="B21" i="15"/>
  <c r="B27" i="15" s="1"/>
  <c r="C16" i="15"/>
  <c r="D14" i="15"/>
  <c r="D18" i="15" s="1"/>
  <c r="B16" i="15"/>
  <c r="C21" i="15"/>
  <c r="C27" i="15" s="1"/>
  <c r="AH30" i="11"/>
  <c r="AI30" i="11" s="1"/>
  <c r="Y30" i="11"/>
  <c r="AB30" i="11"/>
  <c r="AD30" i="11"/>
  <c r="AE40" i="11"/>
  <c r="AF35" i="11"/>
  <c r="AE35" i="11"/>
  <c r="E19" i="15"/>
  <c r="E22" i="15"/>
  <c r="E28" i="15" s="1"/>
  <c r="AD29" i="11"/>
  <c r="AH29" i="11"/>
  <c r="AI29" i="11" s="1"/>
  <c r="C19" i="15"/>
  <c r="C22" i="15"/>
  <c r="C28" i="15" s="1"/>
  <c r="AD28" i="11"/>
  <c r="AE20" i="11"/>
  <c r="AF20" i="11"/>
  <c r="F16" i="15"/>
  <c r="F18" i="15"/>
  <c r="F22" i="15" s="1"/>
  <c r="F28" i="15" s="1"/>
  <c r="F21" i="15"/>
  <c r="F27" i="15" s="1"/>
  <c r="Y66" i="11"/>
  <c r="AH66" i="11"/>
  <c r="AI66" i="11" s="1"/>
  <c r="AB66" i="11"/>
  <c r="AH28" i="11"/>
  <c r="AI28" i="11" s="1"/>
  <c r="AB28" i="11"/>
  <c r="AH20" i="11"/>
  <c r="AI20" i="11" s="1"/>
  <c r="AB20" i="11"/>
  <c r="AB23" i="11"/>
  <c r="AO32" i="11"/>
  <c r="U32" i="11" s="1"/>
  <c r="AB29" i="11"/>
  <c r="G30" i="10"/>
  <c r="AE58" i="11"/>
  <c r="Y58" i="11"/>
  <c r="AH58" i="11"/>
  <c r="AI58" i="11" s="1"/>
  <c r="AI53" i="11"/>
  <c r="AI55" i="11" s="1"/>
  <c r="AB33" i="11"/>
  <c r="AB35" i="11"/>
  <c r="Y26" i="11"/>
  <c r="AD17" i="11"/>
  <c r="AH17" i="11"/>
  <c r="AI17" i="11" s="1"/>
  <c r="Y21" i="11"/>
  <c r="Y29" i="11"/>
  <c r="AH27" i="11"/>
  <c r="AI27" i="11" s="1"/>
  <c r="AB27" i="11"/>
  <c r="AD42" i="11"/>
  <c r="B30" i="10"/>
  <c r="F30" i="10"/>
  <c r="AF53" i="11"/>
  <c r="AD55" i="11"/>
  <c r="U26" i="11"/>
  <c r="V26" i="11" s="1"/>
  <c r="AH59" i="11"/>
  <c r="AI59" i="11" s="1"/>
  <c r="N65" i="11"/>
  <c r="O65" i="11" s="1"/>
  <c r="AH65" i="11" s="1"/>
  <c r="AI65" i="11" s="1"/>
  <c r="AE45" i="11"/>
  <c r="AF45" i="11"/>
  <c r="AB40" i="11"/>
  <c r="AD27" i="11"/>
  <c r="AH62" i="11"/>
  <c r="AI62" i="11" s="1"/>
  <c r="I17" i="11"/>
  <c r="J17" i="11" s="1"/>
  <c r="T17" i="11" s="1"/>
  <c r="Y17" i="11"/>
  <c r="AB46" i="11"/>
  <c r="U28" i="11"/>
  <c r="V28" i="11" s="1"/>
  <c r="E22" i="10"/>
  <c r="E27" i="10" s="1"/>
  <c r="B22" i="10"/>
  <c r="B27" i="10" s="1"/>
  <c r="F22" i="10"/>
  <c r="F27" i="10" s="1"/>
  <c r="AF43" i="11"/>
  <c r="Y48" i="11"/>
  <c r="Y35" i="11"/>
  <c r="E16" i="15"/>
  <c r="E21" i="15"/>
  <c r="E27" i="15" s="1"/>
  <c r="D30" i="10"/>
  <c r="AE41" i="11"/>
  <c r="AF41" i="11"/>
  <c r="AH23" i="11"/>
  <c r="AI23" i="11" s="1"/>
  <c r="AB39" i="11"/>
  <c r="AD34" i="11"/>
  <c r="AD23" i="11"/>
  <c r="N14" i="11"/>
  <c r="O14" i="11" s="1"/>
  <c r="AB14" i="11" s="1"/>
  <c r="AB51" i="11" s="1"/>
  <c r="N63" i="11"/>
  <c r="O63" i="11" s="1"/>
  <c r="AB16" i="11"/>
  <c r="AH38" i="11"/>
  <c r="AI38" i="11" s="1"/>
  <c r="AD38" i="11"/>
  <c r="AB34" i="11"/>
  <c r="U21" i="11"/>
  <c r="V21" i="11" s="1"/>
  <c r="AB21" i="11"/>
  <c r="Y40" i="11"/>
  <c r="C22" i="10"/>
  <c r="C27" i="10" s="1"/>
  <c r="Y62" i="11"/>
  <c r="AD39" i="11"/>
  <c r="AH39" i="11"/>
  <c r="AI39" i="11" s="1"/>
  <c r="N32" i="11"/>
  <c r="O32" i="11" s="1"/>
  <c r="AB32" i="11" s="1"/>
  <c r="Y34" i="11"/>
  <c r="AH15" i="11"/>
  <c r="AI15" i="11" s="1"/>
  <c r="Y15" i="11"/>
  <c r="AB15" i="11"/>
  <c r="N22" i="11"/>
  <c r="O22" i="11" s="1"/>
  <c r="T22" i="11" s="1"/>
  <c r="I27" i="11"/>
  <c r="J27" i="11" s="1"/>
  <c r="T27" i="11" s="1"/>
  <c r="Y47" i="11"/>
  <c r="Y44" i="11"/>
  <c r="Y33" i="11"/>
  <c r="I14" i="11"/>
  <c r="J14" i="11" s="1"/>
  <c r="AD66" i="11"/>
  <c r="N64" i="11"/>
  <c r="O64" i="11" s="1"/>
  <c r="AH64" i="11" s="1"/>
  <c r="AI64" i="11" s="1"/>
  <c r="N61" i="11"/>
  <c r="O61" i="11" s="1"/>
  <c r="AB48" i="11"/>
  <c r="N25" i="11"/>
  <c r="O25" i="11" s="1"/>
  <c r="AB25" i="11" s="1"/>
  <c r="C30" i="10"/>
  <c r="U35" i="11"/>
  <c r="V35" i="11" s="1"/>
  <c r="N24" i="11"/>
  <c r="O24" i="11" s="1"/>
  <c r="N18" i="11"/>
  <c r="O18" i="11" s="1"/>
  <c r="AH18" i="11" s="1"/>
  <c r="AI18" i="11" s="1"/>
  <c r="I43" i="11"/>
  <c r="J43" i="11" s="1"/>
  <c r="T43" i="11" s="1"/>
  <c r="G31" i="11"/>
  <c r="H31" i="11" s="1"/>
  <c r="I31" i="11" s="1"/>
  <c r="J31" i="11" s="1"/>
  <c r="AN19" i="11"/>
  <c r="AO19" i="11" s="1"/>
  <c r="U19" i="11" s="1"/>
  <c r="V19" i="11" s="1"/>
  <c r="G45" i="11"/>
  <c r="H45" i="11" s="1"/>
  <c r="I45" i="11" s="1"/>
  <c r="J45" i="11" s="1"/>
  <c r="T45" i="11" s="1"/>
  <c r="G43" i="11"/>
  <c r="H43" i="11" s="1"/>
  <c r="AN30" i="11"/>
  <c r="AO30" i="11" s="1"/>
  <c r="U30" i="11" s="1"/>
  <c r="V30" i="11" s="1"/>
  <c r="G38" i="11"/>
  <c r="H38" i="11" s="1"/>
  <c r="I38" i="11" s="1"/>
  <c r="J38" i="11" s="1"/>
  <c r="T38" i="11" s="1"/>
  <c r="AN29" i="11"/>
  <c r="AO29" i="11" s="1"/>
  <c r="U29" i="11" s="1"/>
  <c r="V29" i="11" s="1"/>
  <c r="G25" i="11"/>
  <c r="H25" i="11" s="1"/>
  <c r="I25" i="11" s="1"/>
  <c r="J25" i="11" s="1"/>
  <c r="T25" i="11" s="1"/>
  <c r="G60" i="11"/>
  <c r="H60" i="11" s="1"/>
  <c r="I60" i="11" s="1"/>
  <c r="J60" i="11" s="1"/>
  <c r="G40" i="11"/>
  <c r="H40" i="11" s="1"/>
  <c r="I40" i="11" s="1"/>
  <c r="J40" i="11" s="1"/>
  <c r="T40" i="11" s="1"/>
  <c r="AN31" i="11"/>
  <c r="AO31" i="11" s="1"/>
  <c r="U31" i="11" s="1"/>
  <c r="G30" i="11"/>
  <c r="H30" i="11" s="1"/>
  <c r="I30" i="11" s="1"/>
  <c r="J30" i="11" s="1"/>
  <c r="T30" i="11" s="1"/>
  <c r="AN18" i="11"/>
  <c r="AO18" i="11" s="1"/>
  <c r="U18" i="11" s="1"/>
  <c r="G66" i="11"/>
  <c r="H66" i="11" s="1"/>
  <c r="I66" i="11" s="1"/>
  <c r="J66" i="11" s="1"/>
  <c r="T66" i="11" s="1"/>
  <c r="AN15" i="11"/>
  <c r="AO15" i="11" s="1"/>
  <c r="U15" i="11" s="1"/>
  <c r="V15" i="11" s="1"/>
  <c r="AN37" i="11"/>
  <c r="AO37" i="11" s="1"/>
  <c r="U37" i="11" s="1"/>
  <c r="V37" i="11" s="1"/>
  <c r="AN17" i="11"/>
  <c r="AO17" i="11" s="1"/>
  <c r="U17" i="11" s="1"/>
  <c r="V17" i="11" s="1"/>
  <c r="AN46" i="11"/>
  <c r="AO46" i="11" s="1"/>
  <c r="U46" i="11" s="1"/>
  <c r="AN45" i="11"/>
  <c r="AO45" i="11" s="1"/>
  <c r="U45" i="11" s="1"/>
  <c r="V45" i="11" s="1"/>
  <c r="G59" i="11"/>
  <c r="H59" i="11" s="1"/>
  <c r="I59" i="11" s="1"/>
  <c r="J59" i="11" s="1"/>
  <c r="T59" i="11" s="1"/>
  <c r="G65" i="11"/>
  <c r="H65" i="11" s="1"/>
  <c r="I65" i="11" s="1"/>
  <c r="J65" i="11" s="1"/>
  <c r="AN47" i="11"/>
  <c r="AO47" i="11" s="1"/>
  <c r="U47" i="11" s="1"/>
  <c r="G39" i="11"/>
  <c r="H39" i="11" s="1"/>
  <c r="I39" i="11" s="1"/>
  <c r="J39" i="11" s="1"/>
  <c r="T39" i="11" s="1"/>
  <c r="G61" i="11"/>
  <c r="H61" i="11" s="1"/>
  <c r="I61" i="11" s="1"/>
  <c r="J61" i="11" s="1"/>
  <c r="AN48" i="11"/>
  <c r="AO48" i="11" s="1"/>
  <c r="U48" i="11" s="1"/>
  <c r="V48" i="11" s="1"/>
  <c r="G64" i="11"/>
  <c r="H64" i="11" s="1"/>
  <c r="I64" i="11" s="1"/>
  <c r="J64" i="11" s="1"/>
  <c r="G41" i="11"/>
  <c r="H41" i="11" s="1"/>
  <c r="I41" i="11" s="1"/>
  <c r="J41" i="11" s="1"/>
  <c r="T41" i="11" s="1"/>
  <c r="G63" i="11"/>
  <c r="H63" i="11" s="1"/>
  <c r="I63" i="11" s="1"/>
  <c r="J63" i="11" s="1"/>
  <c r="AN20" i="11"/>
  <c r="AO20" i="11" s="1"/>
  <c r="U20" i="11" s="1"/>
  <c r="V20" i="11" s="1"/>
  <c r="G46" i="11"/>
  <c r="H46" i="11" s="1"/>
  <c r="I46" i="11" s="1"/>
  <c r="J46" i="11" s="1"/>
  <c r="AN44" i="11"/>
  <c r="AO44" i="11" s="1"/>
  <c r="U44" i="11" s="1"/>
  <c r="V44" i="11" s="1"/>
  <c r="AN38" i="11"/>
  <c r="AO38" i="11" s="1"/>
  <c r="U38" i="11" s="1"/>
  <c r="V38" i="11" s="1"/>
  <c r="G26" i="11"/>
  <c r="H26" i="11" s="1"/>
  <c r="I26" i="11" s="1"/>
  <c r="J26" i="11" s="1"/>
  <c r="T26" i="11" s="1"/>
  <c r="G15" i="11"/>
  <c r="H15" i="11" s="1"/>
  <c r="I15" i="11" s="1"/>
  <c r="J15" i="11" s="1"/>
  <c r="T15" i="11" s="1"/>
  <c r="G34" i="11"/>
  <c r="H34" i="11" s="1"/>
  <c r="I34" i="11" s="1"/>
  <c r="J34" i="11" s="1"/>
  <c r="T34" i="11" s="1"/>
  <c r="AN49" i="11"/>
  <c r="AO49" i="11" s="1"/>
  <c r="U49" i="11" s="1"/>
  <c r="AN66" i="11"/>
  <c r="AO66" i="11" s="1"/>
  <c r="U66" i="11" s="1"/>
  <c r="V66" i="11" s="1"/>
  <c r="AN22" i="11"/>
  <c r="AO22" i="11" s="1"/>
  <c r="U22" i="11" s="1"/>
  <c r="V22" i="11" s="1"/>
  <c r="AN41" i="11"/>
  <c r="AO41" i="11" s="1"/>
  <c r="U41" i="11" s="1"/>
  <c r="V41" i="11" s="1"/>
  <c r="G48" i="11"/>
  <c r="H48" i="11" s="1"/>
  <c r="I48" i="11" s="1"/>
  <c r="J48" i="11" s="1"/>
  <c r="T48" i="11" s="1"/>
  <c r="U9" i="11"/>
  <c r="V9" i="11" s="1"/>
  <c r="G58" i="11"/>
  <c r="H58" i="11" s="1"/>
  <c r="I58" i="11" s="1"/>
  <c r="J58" i="11" s="1"/>
  <c r="T58" i="11" s="1"/>
  <c r="AN39" i="11"/>
  <c r="AO39" i="11" s="1"/>
  <c r="U39" i="11" s="1"/>
  <c r="V39" i="11" s="1"/>
  <c r="U40" i="11"/>
  <c r="V40" i="11" s="1"/>
  <c r="Y45" i="11"/>
  <c r="AB38" i="11"/>
  <c r="AH46" i="11" l="1"/>
  <c r="AI46" i="11" s="1"/>
  <c r="Y42" i="11"/>
  <c r="V18" i="11"/>
  <c r="AH57" i="11"/>
  <c r="T47" i="11"/>
  <c r="T46" i="11"/>
  <c r="V24" i="11"/>
  <c r="Y22" i="11"/>
  <c r="AD57" i="11"/>
  <c r="T57" i="11"/>
  <c r="T68" i="11" s="1"/>
  <c r="AD47" i="11"/>
  <c r="V31" i="11"/>
  <c r="AB42" i="11"/>
  <c r="AH31" i="11"/>
  <c r="AI31" i="11" s="1"/>
  <c r="AE15" i="11"/>
  <c r="AF48" i="11"/>
  <c r="T37" i="11"/>
  <c r="T64" i="11"/>
  <c r="V46" i="11"/>
  <c r="AB31" i="11"/>
  <c r="AD31" i="11"/>
  <c r="AD18" i="11"/>
  <c r="AE18" i="11" s="1"/>
  <c r="AF19" i="11"/>
  <c r="T42" i="11"/>
  <c r="AD46" i="11"/>
  <c r="V47" i="11"/>
  <c r="T31" i="11"/>
  <c r="T23" i="11"/>
  <c r="AD33" i="11"/>
  <c r="D28" i="10"/>
  <c r="D31" i="10"/>
  <c r="D32" i="10" s="1"/>
  <c r="T65" i="11"/>
  <c r="V49" i="11"/>
  <c r="Y60" i="11"/>
  <c r="AE44" i="11"/>
  <c r="AF44" i="11"/>
  <c r="AH21" i="11"/>
  <c r="AI21" i="11" s="1"/>
  <c r="AD21" i="11"/>
  <c r="AH36" i="11"/>
  <c r="AI36" i="11" s="1"/>
  <c r="AD36" i="11"/>
  <c r="AD59" i="11"/>
  <c r="AB49" i="11"/>
  <c r="AB60" i="11"/>
  <c r="Y49" i="11"/>
  <c r="AH37" i="11"/>
  <c r="AI37" i="11" s="1"/>
  <c r="Y37" i="11"/>
  <c r="AB37" i="11"/>
  <c r="AF26" i="11"/>
  <c r="AE26" i="11"/>
  <c r="AD37" i="11"/>
  <c r="T60" i="11"/>
  <c r="AH60" i="11"/>
  <c r="AI60" i="11" s="1"/>
  <c r="AB59" i="11"/>
  <c r="T49" i="11"/>
  <c r="Y18" i="11"/>
  <c r="AE16" i="11"/>
  <c r="AD24" i="11"/>
  <c r="V36" i="11"/>
  <c r="T36" i="11"/>
  <c r="Y32" i="11"/>
  <c r="AB36" i="11"/>
  <c r="AD49" i="11"/>
  <c r="AE49" i="11" s="1"/>
  <c r="F19" i="15"/>
  <c r="D21" i="15"/>
  <c r="D27" i="15" s="1"/>
  <c r="D16" i="15"/>
  <c r="B19" i="15"/>
  <c r="C31" i="10"/>
  <c r="C32" i="10" s="1"/>
  <c r="C28" i="10"/>
  <c r="AF18" i="11"/>
  <c r="V14" i="11"/>
  <c r="V51" i="11" s="1"/>
  <c r="AE66" i="11"/>
  <c r="AF66" i="11"/>
  <c r="AF29" i="11"/>
  <c r="AE29" i="11"/>
  <c r="T24" i="11"/>
  <c r="V32" i="11"/>
  <c r="E31" i="10"/>
  <c r="E32" i="10" s="1"/>
  <c r="E28" i="10"/>
  <c r="G31" i="10"/>
  <c r="G32" i="10" s="1"/>
  <c r="G28" i="10"/>
  <c r="AE59" i="11"/>
  <c r="AF59" i="11"/>
  <c r="AH68" i="11"/>
  <c r="AI57" i="11"/>
  <c r="AI68" i="11" s="1"/>
  <c r="AE30" i="11"/>
  <c r="AF30" i="11"/>
  <c r="Y61" i="11"/>
  <c r="AH61" i="11"/>
  <c r="AI61" i="11" s="1"/>
  <c r="AE27" i="11"/>
  <c r="AF27" i="11"/>
  <c r="AF42" i="11"/>
  <c r="AE42" i="11"/>
  <c r="T61" i="11"/>
  <c r="B28" i="10"/>
  <c r="B31" i="10"/>
  <c r="B32" i="10" s="1"/>
  <c r="AE46" i="11"/>
  <c r="AF46" i="11"/>
  <c r="Y24" i="11"/>
  <c r="AH24" i="11"/>
  <c r="AI24" i="11" s="1"/>
  <c r="T18" i="11"/>
  <c r="AB24" i="11"/>
  <c r="AF34" i="11"/>
  <c r="AE34" i="11"/>
  <c r="AF60" i="11"/>
  <c r="AE60" i="11"/>
  <c r="Y65" i="11"/>
  <c r="AF28" i="11"/>
  <c r="AE28" i="11"/>
  <c r="AD68" i="11"/>
  <c r="AF57" i="11"/>
  <c r="AE57" i="11"/>
  <c r="AE68" i="11" s="1"/>
  <c r="AF24" i="11"/>
  <c r="AE24" i="11"/>
  <c r="AE17" i="11"/>
  <c r="AF17" i="11"/>
  <c r="F28" i="10"/>
  <c r="F31" i="10"/>
  <c r="F32" i="10" s="1"/>
  <c r="Y64" i="11"/>
  <c r="AF23" i="11"/>
  <c r="AE23" i="11"/>
  <c r="AD32" i="11"/>
  <c r="AH32" i="11"/>
  <c r="AI32" i="11" s="1"/>
  <c r="AD61" i="11"/>
  <c r="Y25" i="11"/>
  <c r="AH25" i="11"/>
  <c r="AI25" i="11" s="1"/>
  <c r="AD25" i="11"/>
  <c r="T14" i="11"/>
  <c r="T51" i="11" s="1"/>
  <c r="AH22" i="11"/>
  <c r="AI22" i="11" s="1"/>
  <c r="AB22" i="11"/>
  <c r="AF39" i="11"/>
  <c r="AE39" i="11"/>
  <c r="AF31" i="11"/>
  <c r="AE31" i="11"/>
  <c r="AF49" i="11"/>
  <c r="AH63" i="11"/>
  <c r="AI63" i="11" s="1"/>
  <c r="Y63" i="11"/>
  <c r="AH14" i="11"/>
  <c r="Y14" i="11"/>
  <c r="Y51" i="11" s="1"/>
  <c r="AD14" i="11"/>
  <c r="D22" i="15"/>
  <c r="D28" i="15" s="1"/>
  <c r="D19" i="15"/>
  <c r="AE38" i="11"/>
  <c r="AF38" i="11"/>
  <c r="T63" i="11"/>
  <c r="AE47" i="11"/>
  <c r="AF47" i="11"/>
  <c r="AB18" i="11"/>
  <c r="AD22" i="11"/>
  <c r="AF33" i="11" l="1"/>
  <c r="AE33" i="11"/>
  <c r="AF37" i="11"/>
  <c r="AE37" i="11"/>
  <c r="AF36" i="11"/>
  <c r="AE36" i="11"/>
  <c r="AE21" i="11"/>
  <c r="AF21" i="11"/>
  <c r="AE25" i="11"/>
  <c r="AF25" i="11"/>
  <c r="AE22" i="11"/>
  <c r="AF22" i="11"/>
  <c r="AD51" i="11"/>
  <c r="AE14" i="11"/>
  <c r="AE51" i="11" s="1"/>
  <c r="AF14" i="11"/>
  <c r="AE61" i="11"/>
  <c r="AF61" i="11"/>
  <c r="AF32" i="11"/>
  <c r="AE32" i="11"/>
  <c r="AI14" i="11"/>
  <c r="AI51" i="11" s="1"/>
  <c r="AH51" i="11"/>
</calcChain>
</file>

<file path=xl/sharedStrings.xml><?xml version="1.0" encoding="utf-8"?>
<sst xmlns="http://schemas.openxmlformats.org/spreadsheetml/2006/main" count="338" uniqueCount="235">
  <si>
    <t>Electric Construction</t>
  </si>
  <si>
    <t>Repairs by Type</t>
  </si>
  <si>
    <t>Energy Price</t>
  </si>
  <si>
    <t>PU Pivot, generator if not electric</t>
  </si>
  <si>
    <t>Surface</t>
  </si>
  <si>
    <t xml:space="preserve">Center </t>
  </si>
  <si>
    <t>Repair Factor by Irrigation Type</t>
  </si>
  <si>
    <t>Maintenance/ Acre-In</t>
  </si>
  <si>
    <t>$/ac</t>
  </si>
  <si>
    <t>Acre-Inches</t>
  </si>
  <si>
    <t>Rotary Harrow</t>
  </si>
  <si>
    <t>Percent</t>
  </si>
  <si>
    <t>Trade/Sell</t>
  </si>
  <si>
    <t>Fall 2010</t>
  </si>
  <si>
    <t>$Pipe/ft</t>
  </si>
  <si>
    <t>$/Side</t>
  </si>
  <si>
    <t>One Side, ft</t>
  </si>
  <si>
    <t>Levee Gates Cost</t>
  </si>
  <si>
    <t>$/Gate</t>
  </si>
  <si>
    <t>Levees, St</t>
  </si>
  <si>
    <t>Levees, Ct</t>
  </si>
  <si>
    <t>Polypipe Cost: 15 in = $230/1320 ft; 18 in = $300/1320 ft</t>
  </si>
  <si>
    <t>wage rate for AR</t>
  </si>
  <si>
    <t>2010, pg. 18</t>
  </si>
  <si>
    <t>NASS Nov. 2010</t>
  </si>
  <si>
    <r>
      <t>Converting Generator</t>
    </r>
    <r>
      <rPr>
        <vertAlign val="superscript"/>
        <sz val="11"/>
        <color indexed="9"/>
        <rFont val="Times New Roman"/>
        <family val="1"/>
      </rPr>
      <t>1</t>
    </r>
  </si>
  <si>
    <r>
      <rPr>
        <vertAlign val="superscript"/>
        <sz val="11"/>
        <color indexed="9"/>
        <rFont val="Times New Roman"/>
        <family val="1"/>
      </rPr>
      <t>1</t>
    </r>
    <r>
      <rPr>
        <sz val="11"/>
        <color indexed="9"/>
        <rFont val="Times New Roman"/>
        <family val="1"/>
      </rPr>
      <t>Converts diesel energy to electricity for center pivot</t>
    </r>
  </si>
  <si>
    <t>Operating Expenses/yield unit</t>
  </si>
  <si>
    <t>Price ($/yield unit)</t>
  </si>
  <si>
    <t>Input Costs</t>
  </si>
  <si>
    <t>Other Operating Expenses</t>
  </si>
  <si>
    <t>Fixed Costs</t>
  </si>
  <si>
    <t>Cash Land Rent</t>
  </si>
  <si>
    <t>Grower Share, %</t>
  </si>
  <si>
    <t>Crop Revenue</t>
  </si>
  <si>
    <t>Total Operating Expenses</t>
  </si>
  <si>
    <r>
      <rPr>
        <b/>
        <vertAlign val="superscript"/>
        <sz val="11"/>
        <rFont val="Times New Roman"/>
        <family val="1"/>
      </rPr>
      <t>2</t>
    </r>
    <r>
      <rPr>
        <b/>
        <sz val="11"/>
        <rFont val="Times New Roman"/>
        <family val="1"/>
      </rPr>
      <t>Net Operating Expenses</t>
    </r>
  </si>
  <si>
    <r>
      <rPr>
        <b/>
        <vertAlign val="superscript"/>
        <sz val="11"/>
        <rFont val="Times New Roman"/>
        <family val="1"/>
      </rPr>
      <t>3</t>
    </r>
    <r>
      <rPr>
        <b/>
        <sz val="11"/>
        <rFont val="Times New Roman"/>
        <family val="1"/>
      </rPr>
      <t>Returns to Operating Expenses</t>
    </r>
  </si>
  <si>
    <r>
      <rPr>
        <b/>
        <vertAlign val="superscript"/>
        <sz val="11"/>
        <rFont val="Times New Roman"/>
        <family val="1"/>
      </rPr>
      <t>4</t>
    </r>
    <r>
      <rPr>
        <b/>
        <sz val="11"/>
        <rFont val="Times New Roman"/>
        <family val="1"/>
      </rPr>
      <t>Total Specified Expenses</t>
    </r>
  </si>
  <si>
    <r>
      <rPr>
        <b/>
        <vertAlign val="superscript"/>
        <sz val="11"/>
        <rFont val="Times New Roman"/>
        <family val="1"/>
      </rPr>
      <t>3</t>
    </r>
    <r>
      <rPr>
        <b/>
        <sz val="11"/>
        <rFont val="Times New Roman"/>
        <family val="1"/>
      </rPr>
      <t>Returns to Specified Expenses</t>
    </r>
  </si>
  <si>
    <r>
      <t>3</t>
    </r>
    <r>
      <rPr>
        <sz val="11"/>
        <rFont val="Times New Roman"/>
        <family val="1"/>
      </rPr>
      <t>Share rent and cash land rent are deducted from crop revenue.</t>
    </r>
  </si>
  <si>
    <r>
      <rPr>
        <vertAlign val="superscript"/>
        <sz val="11"/>
        <rFont val="Times New Roman"/>
        <family val="1"/>
      </rPr>
      <t>4</t>
    </r>
    <r>
      <rPr>
        <sz val="11"/>
        <rFont val="Times New Roman"/>
        <family val="1"/>
      </rPr>
      <t>Does not include land costs, management, or other expenses and fees not associated with production.</t>
    </r>
  </si>
  <si>
    <t>Peanut</t>
  </si>
  <si>
    <t>Yield (cotton-lb, peanut-ton, other-bu)</t>
  </si>
  <si>
    <r>
      <t>Total Expenses</t>
    </r>
    <r>
      <rPr>
        <vertAlign val="superscript"/>
        <sz val="11"/>
        <rFont val="Times New Roman"/>
        <family val="1"/>
      </rPr>
      <t>4</t>
    </r>
    <r>
      <rPr>
        <sz val="11"/>
        <rFont val="Times New Roman"/>
        <family val="1"/>
      </rPr>
      <t>/yield unit</t>
    </r>
  </si>
  <si>
    <t>Total Cost/yield unit, including land</t>
  </si>
  <si>
    <r>
      <t>1</t>
    </r>
    <r>
      <rPr>
        <sz val="11"/>
        <rFont val="Times New Roman"/>
        <family val="1"/>
      </rPr>
      <t>Gin rebate is set equal to post-harvest expenses.</t>
    </r>
  </si>
  <si>
    <r>
      <rPr>
        <b/>
        <vertAlign val="superscript"/>
        <sz val="11"/>
        <rFont val="Times New Roman"/>
        <family val="1"/>
      </rPr>
      <t>1</t>
    </r>
    <r>
      <rPr>
        <b/>
        <sz val="11"/>
        <rFont val="Times New Roman"/>
        <family val="1"/>
      </rPr>
      <t>Gin Rebate/Bale</t>
    </r>
  </si>
  <si>
    <r>
      <t>2</t>
    </r>
    <r>
      <rPr>
        <sz val="11"/>
        <rFont val="Times New Roman"/>
        <family val="1"/>
      </rPr>
      <t>Cottonseed value (gin rebate) deducted from post-harvest expenses.</t>
    </r>
  </si>
  <si>
    <t>Table S-2. Summary of Revenue and Expenses per Acre, Pivot Irrigation</t>
  </si>
  <si>
    <t>Land Expense/acre</t>
  </si>
  <si>
    <t>Land Expense/yield unit</t>
  </si>
  <si>
    <t>Operating &amp; Land Expenses/yield unit</t>
  </si>
  <si>
    <t>5. Complete the merge, and see the fuel price for the same energy cost.</t>
  </si>
  <si>
    <t>Purchase $</t>
  </si>
  <si>
    <t>Years</t>
  </si>
  <si>
    <t>Salvage %</t>
  </si>
  <si>
    <t>$/Acre</t>
  </si>
  <si>
    <t>Pivot ft.</t>
  </si>
  <si>
    <t>Pivot $/ft</t>
  </si>
  <si>
    <t>Total $</t>
  </si>
  <si>
    <t>Detail is typical for area. Detail is for furrow, is sufficient for 1/4 mile pivot system</t>
  </si>
  <si>
    <t>Info: Valley Irrigation in Marked Tree</t>
  </si>
  <si>
    <t>Well &amp; Pump Detail: 120 ft,16 inch well, 12 inch pump, 80 hp gear drive, $20,000    Info: Cart Well Drilling in Weiner</t>
  </si>
  <si>
    <t>Power unit for furrow irrigation: $10,000</t>
  </si>
  <si>
    <t>Pivot</t>
  </si>
  <si>
    <t>Discharge PSI (lbs.) at Pump</t>
  </si>
  <si>
    <t>Pivot is low pressure drizzle nozzle</t>
  </si>
  <si>
    <t>Power unit for center pivot: $12,250</t>
  </si>
  <si>
    <t>Combine</t>
  </si>
  <si>
    <t>Corn Head</t>
  </si>
  <si>
    <t>Soybean Head</t>
  </si>
  <si>
    <t>Rice Head</t>
  </si>
  <si>
    <t>Grain Cart</t>
  </si>
  <si>
    <t>Roller-Packer</t>
  </si>
  <si>
    <t>Grain Drill</t>
  </si>
  <si>
    <t>ASABE</t>
  </si>
  <si>
    <t>Power Unit, Pivot</t>
  </si>
  <si>
    <t>Power Unit, Furrow</t>
  </si>
  <si>
    <t>Center Pivot Towers</t>
  </si>
  <si>
    <t>Increase</t>
  </si>
  <si>
    <t>PU Furrow</t>
  </si>
  <si>
    <t>Information Collected Fall 2009</t>
  </si>
  <si>
    <t>from</t>
  </si>
  <si>
    <t>Furrow, Flood</t>
  </si>
  <si>
    <t>Tandem Disk Harrow</t>
  </si>
  <si>
    <t>Coulter Chisel Plow</t>
  </si>
  <si>
    <t>One Acre = 43,560 sq ft</t>
  </si>
  <si>
    <t>Heavy-Duty Disk</t>
  </si>
  <si>
    <t>Boom Type Sprayer</t>
  </si>
  <si>
    <t>Real Rate</t>
  </si>
  <si>
    <t>Well Depth</t>
  </si>
  <si>
    <t>Name Applied</t>
  </si>
  <si>
    <t>Wheat/Sorghum Head</t>
  </si>
  <si>
    <t>GDP Price Deflator</t>
  </si>
  <si>
    <t>Financing Interest Rate</t>
  </si>
  <si>
    <t>Machine Interest Rate</t>
  </si>
  <si>
    <t>Real Interest Rate</t>
  </si>
  <si>
    <t>Milt at Home Oil Co. Osceola</t>
  </si>
  <si>
    <t>870-563-6573</t>
  </si>
  <si>
    <t>Diesel</t>
  </si>
  <si>
    <t>State Tax</t>
  </si>
  <si>
    <t>No. 2 Off Road Diesel</t>
  </si>
  <si>
    <t>Field workers</t>
  </si>
  <si>
    <t>Labor Hours</t>
  </si>
  <si>
    <t>PreHarv</t>
  </si>
  <si>
    <t>Harv</t>
  </si>
  <si>
    <t xml:space="preserve"> </t>
  </si>
  <si>
    <t>Tractor Capital Recovey</t>
  </si>
  <si>
    <t>PU Pivot</t>
  </si>
  <si>
    <t>Receipts</t>
  </si>
  <si>
    <t>Post-harvest Expenses</t>
  </si>
  <si>
    <t>Operating Expenses</t>
  </si>
  <si>
    <t>Moldboard Plow</t>
  </si>
  <si>
    <t>Spring tooth harrow</t>
  </si>
  <si>
    <t>Repairs</t>
  </si>
  <si>
    <t>Amoritazation</t>
  </si>
  <si>
    <t>%</t>
  </si>
  <si>
    <t>Self-Prolled Sprayer</t>
  </si>
  <si>
    <t>ATV Spot or Levee Spray, Includes Boom</t>
  </si>
  <si>
    <t>Rotary Hoe</t>
  </si>
  <si>
    <t>Levee Roller-Packer-Shaper</t>
  </si>
  <si>
    <t>Row Crop Cultivator</t>
  </si>
  <si>
    <t>Wage =</t>
  </si>
  <si>
    <t>Pump</t>
  </si>
  <si>
    <t>Well</t>
  </si>
  <si>
    <t>PU Furrow, Flood</t>
  </si>
  <si>
    <t>PU Center Pivot</t>
  </si>
  <si>
    <t>Pump, Subsurface Source</t>
  </si>
  <si>
    <t>Unit</t>
  </si>
  <si>
    <t>Acre</t>
  </si>
  <si>
    <t>Irrigation</t>
  </si>
  <si>
    <t>Repairs and Maintenance</t>
  </si>
  <si>
    <t>New Price</t>
  </si>
  <si>
    <t>Boll Buggy</t>
  </si>
  <si>
    <t>Module Builder</t>
  </si>
  <si>
    <t>Price</t>
  </si>
  <si>
    <t>Total</t>
  </si>
  <si>
    <t xml:space="preserve">Expected </t>
  </si>
  <si>
    <t>No. Years</t>
  </si>
  <si>
    <t>Pump, Surface Source</t>
  </si>
  <si>
    <t>Electricity Construction</t>
  </si>
  <si>
    <t>Center Pivot Cost, $/ft</t>
  </si>
  <si>
    <t>to Use</t>
  </si>
  <si>
    <t>Slavage</t>
  </si>
  <si>
    <t>Value</t>
  </si>
  <si>
    <t>Percent of</t>
  </si>
  <si>
    <t>Interest</t>
  </si>
  <si>
    <t>Financing</t>
  </si>
  <si>
    <t>Amortization</t>
  </si>
  <si>
    <t>Factor</t>
  </si>
  <si>
    <t>Annual</t>
  </si>
  <si>
    <t>Capital</t>
  </si>
  <si>
    <t>Recovery</t>
  </si>
  <si>
    <t>Purchase</t>
  </si>
  <si>
    <t xml:space="preserve">Hours </t>
  </si>
  <si>
    <t>per Year</t>
  </si>
  <si>
    <t>per Hour</t>
  </si>
  <si>
    <t>Field Capacity</t>
  </si>
  <si>
    <t>Miles</t>
  </si>
  <si>
    <t xml:space="preserve">per </t>
  </si>
  <si>
    <t>Hour</t>
  </si>
  <si>
    <t>Width</t>
  </si>
  <si>
    <t>in Feet</t>
  </si>
  <si>
    <t>Field</t>
  </si>
  <si>
    <t>Efficiency</t>
  </si>
  <si>
    <t>Acres</t>
  </si>
  <si>
    <t>Hours</t>
  </si>
  <si>
    <t>per Acre</t>
  </si>
  <si>
    <t>Tractor</t>
  </si>
  <si>
    <t>No. Trips</t>
  </si>
  <si>
    <t>HP</t>
  </si>
  <si>
    <t>Fuel Gallons</t>
  </si>
  <si>
    <t>Fuel &amp; Lube</t>
  </si>
  <si>
    <t>Labor</t>
  </si>
  <si>
    <t>with Power</t>
  </si>
  <si>
    <t>Power</t>
  </si>
  <si>
    <t>Repair</t>
  </si>
  <si>
    <t>Drive of</t>
  </si>
  <si>
    <t>$/Hour =</t>
  </si>
  <si>
    <t>Labor Wages</t>
  </si>
  <si>
    <t>Maintenance</t>
  </si>
  <si>
    <t>Repairs &amp;</t>
  </si>
  <si>
    <t>Unit Acre</t>
  </si>
  <si>
    <t>Fuel Cost</t>
  </si>
  <si>
    <t>Lube Cost</t>
  </si>
  <si>
    <t>Labor Cost</t>
  </si>
  <si>
    <t>No.Wheel</t>
  </si>
  <si>
    <t>Tractor Acre</t>
  </si>
  <si>
    <t>Capital Recovery per Acre</t>
  </si>
  <si>
    <t>Diesel $/Gallon     =</t>
  </si>
  <si>
    <t>Power Unit Detail</t>
  </si>
  <si>
    <t>Cotton Picker</t>
  </si>
  <si>
    <t xml:space="preserve">Implement </t>
  </si>
  <si>
    <t>Factor 1</t>
  </si>
  <si>
    <t>Factor 2</t>
  </si>
  <si>
    <t>Total Harvest</t>
  </si>
  <si>
    <t>Total Self-Propelled Pre-Harvest</t>
  </si>
  <si>
    <t>Total Implements, Including Post-Harvest</t>
  </si>
  <si>
    <t>Field Cultivator</t>
  </si>
  <si>
    <t>Row Crop Planter</t>
  </si>
  <si>
    <t>Fertilizer Spreader</t>
  </si>
  <si>
    <t>Mower (Rotary)</t>
  </si>
  <si>
    <t>per</t>
  </si>
  <si>
    <t>Item</t>
  </si>
  <si>
    <t xml:space="preserve">Diesel </t>
  </si>
  <si>
    <t>Electrical, Vertical Line Shaft Pump</t>
  </si>
  <si>
    <t>Electrical, Submersible Pump</t>
  </si>
  <si>
    <t>Natural Gas</t>
  </si>
  <si>
    <t>Liquid Petroleum (LP. Propane)</t>
  </si>
  <si>
    <t>Gasoline</t>
  </si>
  <si>
    <t>Head</t>
  </si>
  <si>
    <t>ft.</t>
  </si>
  <si>
    <t>Fuel Price</t>
  </si>
  <si>
    <t>$/unit of energy</t>
  </si>
  <si>
    <t>Engine Power Output</t>
  </si>
  <si>
    <t>hp-hr/unit of energy</t>
  </si>
  <si>
    <t>Pump Efficiency</t>
  </si>
  <si>
    <t>Gear Head Efficiency</t>
  </si>
  <si>
    <t>Energy Cost</t>
  </si>
  <si>
    <t>$/ac-in</t>
  </si>
  <si>
    <t>$/ac-ft</t>
  </si>
  <si>
    <t>Routine Maintenance</t>
  </si>
  <si>
    <t>Operating Cost</t>
  </si>
  <si>
    <t>Desired Energy Cost</t>
  </si>
  <si>
    <t>Instructions for using the Macro</t>
  </si>
  <si>
    <t>1. Enter desired energy cost into Blue highlighted cell (B14)</t>
  </si>
  <si>
    <t>2. Hit the Green arrow button on the Visual Basic Menu Bar</t>
  </si>
  <si>
    <t>3. Select the Multi-cell goal seek option.</t>
  </si>
  <si>
    <t>4. Highlight the row that it prompts you to for energy cost (B7:G7), desired energy cost (B14:G14) and fuel price (B3:G3)</t>
  </si>
  <si>
    <t>Add $5,500 for generator to add to diesel power unit for Valley Electric Irrigation system</t>
  </si>
  <si>
    <t>Cotton B3XF</t>
  </si>
  <si>
    <t>Corn Stacked</t>
  </si>
  <si>
    <t>Grain Sorghum</t>
  </si>
  <si>
    <t>Soybean RR2Xtend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</si>
</sst>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00"/>
    <numFmt numFmtId="166" formatCode="&quot;$&quot;#,##0.00"/>
    <numFmt numFmtId="167" formatCode="&quot;$&quot;#,##0"/>
    <numFmt numFmtId="168" formatCode="0.0000"/>
    <numFmt numFmtId="169" formatCode="0.0%"/>
    <numFmt numFmtId="170" formatCode="0.00000"/>
    <numFmt numFmtId="171" formatCode="0.00000000"/>
  </numFmts>
  <fonts count="19" x14ac:knownFonts="1">
    <font>
      <sz val="10"/>
      <name val="Arial"/>
    </font>
    <font>
      <sz val="10"/>
      <name val="Arial"/>
      <family val="2"/>
    </font>
    <font>
      <b/>
      <sz val="11"/>
      <name val="Times New Roman"/>
      <family val="1"/>
    </font>
    <font>
      <sz val="11"/>
      <name val="Times New Roman"/>
      <family val="1"/>
    </font>
    <font>
      <b/>
      <vertAlign val="superscript"/>
      <sz val="11"/>
      <name val="Times New Roman"/>
      <family val="1"/>
    </font>
    <font>
      <vertAlign val="superscript"/>
      <sz val="11"/>
      <name val="Times New Roman"/>
      <family val="1"/>
    </font>
    <font>
      <sz val="11"/>
      <color indexed="9"/>
      <name val="Times New Roman"/>
      <family val="1"/>
    </font>
    <font>
      <vertAlign val="superscript"/>
      <sz val="11"/>
      <color indexed="9"/>
      <name val="Times New Roman"/>
      <family val="1"/>
    </font>
    <font>
      <sz val="10"/>
      <color indexed="9"/>
      <name val="Arial"/>
      <family val="2"/>
    </font>
    <font>
      <sz val="10"/>
      <color indexed="8"/>
      <name val="Arial"/>
      <family val="2"/>
    </font>
    <font>
      <sz val="11"/>
      <color indexed="9"/>
      <name val="Times New Roman"/>
      <family val="1"/>
    </font>
    <font>
      <b/>
      <sz val="11"/>
      <color indexed="9"/>
      <name val="Times New Roman"/>
      <family val="1"/>
    </font>
    <font>
      <sz val="10"/>
      <color indexed="9"/>
      <name val="Times New Roman"/>
      <family val="1"/>
    </font>
    <font>
      <b/>
      <sz val="10"/>
      <color indexed="9"/>
      <name val="Arial"/>
      <family val="2"/>
    </font>
    <font>
      <b/>
      <sz val="9"/>
      <color indexed="9"/>
      <name val="Arial"/>
      <family val="2"/>
    </font>
    <font>
      <sz val="9"/>
      <color indexed="9"/>
      <name val="Arial"/>
      <family val="2"/>
    </font>
    <font>
      <b/>
      <i/>
      <sz val="10"/>
      <color indexed="9"/>
      <name val="Arial"/>
      <family val="2"/>
    </font>
    <font>
      <sz val="11"/>
      <color indexed="8"/>
      <name val="Times New Roman"/>
      <family val="1"/>
    </font>
    <font>
      <sz val="8"/>
      <name val="Verdana"/>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13">
    <xf numFmtId="0" fontId="0" fillId="0" borderId="0" xfId="0"/>
    <xf numFmtId="0" fontId="0" fillId="0" borderId="0" xfId="0" applyFill="1"/>
    <xf numFmtId="0" fontId="8" fillId="0" borderId="0" xfId="0" applyFont="1" applyFill="1" applyBorder="1" applyAlignment="1"/>
    <xf numFmtId="0" fontId="9" fillId="0" borderId="0" xfId="0" applyFont="1" applyFill="1" applyAlignment="1"/>
    <xf numFmtId="0" fontId="9" fillId="0" borderId="0" xfId="0" applyFont="1" applyAlignment="1"/>
    <xf numFmtId="0" fontId="9" fillId="0" borderId="0" xfId="0" applyFont="1"/>
    <xf numFmtId="0" fontId="1" fillId="0" borderId="0" xfId="0" applyFont="1" applyFill="1" applyBorder="1" applyAlignment="1"/>
    <xf numFmtId="0" fontId="8" fillId="0" borderId="0" xfId="0" applyFont="1" applyFill="1" applyBorder="1"/>
    <xf numFmtId="0" fontId="10" fillId="0" borderId="0" xfId="0" applyFont="1" applyFill="1" applyBorder="1" applyAlignment="1">
      <alignment horizontal="centerContinuous"/>
    </xf>
    <xf numFmtId="0" fontId="10" fillId="0" borderId="0" xfId="0" applyFont="1" applyFill="1" applyBorder="1"/>
    <xf numFmtId="0" fontId="8" fillId="0" borderId="0" xfId="0" applyFont="1" applyFill="1" applyBorder="1" applyProtection="1"/>
    <xf numFmtId="0" fontId="10" fillId="0" borderId="0" xfId="0" applyFont="1" applyFill="1" applyBorder="1" applyAlignment="1">
      <alignment horizontal="center"/>
    </xf>
    <xf numFmtId="2" fontId="10" fillId="0" borderId="0" xfId="0" applyNumberFormat="1" applyFont="1" applyFill="1" applyBorder="1" applyProtection="1"/>
    <xf numFmtId="0" fontId="8" fillId="0" borderId="0" xfId="0" applyFont="1" applyFill="1" applyBorder="1" applyAlignment="1" applyProtection="1"/>
    <xf numFmtId="3"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0" fontId="10" fillId="0" borderId="0" xfId="0" applyFont="1" applyFill="1" applyBorder="1" applyAlignment="1" applyProtection="1">
      <alignment horizontal="centerContinuous"/>
    </xf>
    <xf numFmtId="0" fontId="10" fillId="0" borderId="0" xfId="0" applyFont="1" applyFill="1" applyBorder="1" applyAlignment="1"/>
    <xf numFmtId="0" fontId="11" fillId="0" borderId="0" xfId="0" applyFont="1" applyFill="1" applyBorder="1" applyAlignment="1" applyProtection="1">
      <protection locked="0"/>
    </xf>
    <xf numFmtId="0" fontId="11" fillId="0" borderId="0" xfId="0" applyFont="1" applyFill="1" applyBorder="1" applyAlignment="1" applyProtection="1">
      <alignment horizontal="centerContinuous"/>
    </xf>
    <xf numFmtId="2" fontId="11" fillId="0" borderId="0" xfId="0" applyNumberFormat="1" applyFont="1" applyFill="1" applyBorder="1" applyAlignment="1" applyProtection="1">
      <alignment horizontal="centerContinuous"/>
    </xf>
    <xf numFmtId="2" fontId="11" fillId="0" borderId="0" xfId="0" applyNumberFormat="1" applyFont="1" applyFill="1" applyBorder="1" applyAlignment="1" applyProtection="1"/>
    <xf numFmtId="0" fontId="10" fillId="0" borderId="0" xfId="0" applyFont="1" applyFill="1" applyBorder="1" applyProtection="1"/>
    <xf numFmtId="0" fontId="10" fillId="0" borderId="0" xfId="0" applyFont="1" applyFill="1" applyBorder="1" applyAlignment="1" applyProtection="1">
      <alignment horizontal="center"/>
    </xf>
    <xf numFmtId="0" fontId="11" fillId="0" borderId="0" xfId="0" applyFont="1" applyFill="1" applyBorder="1" applyAlignment="1" applyProtection="1">
      <alignment horizontal="center"/>
      <protection locked="0"/>
    </xf>
    <xf numFmtId="0" fontId="12" fillId="0" borderId="0" xfId="0" applyFont="1" applyFill="1" applyBorder="1"/>
    <xf numFmtId="2" fontId="10" fillId="0" borderId="0" xfId="0" applyNumberFormat="1" applyFont="1" applyFill="1" applyBorder="1" applyAlignment="1" applyProtection="1">
      <alignment horizontal="center"/>
    </xf>
    <xf numFmtId="0" fontId="10" fillId="0" borderId="0" xfId="0" applyFont="1" applyFill="1" applyBorder="1" applyAlignment="1" applyProtection="1"/>
    <xf numFmtId="0" fontId="10" fillId="0" borderId="0" xfId="0" applyFont="1" applyFill="1" applyBorder="1" applyAlignment="1" applyProtection="1">
      <alignment horizontal="center"/>
      <protection locked="0"/>
    </xf>
    <xf numFmtId="168" fontId="10" fillId="0" borderId="0" xfId="0" applyNumberFormat="1" applyFont="1" applyFill="1" applyBorder="1"/>
    <xf numFmtId="2" fontId="10" fillId="0" borderId="0" xfId="0" applyNumberFormat="1" applyFont="1" applyFill="1" applyBorder="1"/>
    <xf numFmtId="1" fontId="8" fillId="0" borderId="0" xfId="0" applyNumberFormat="1" applyFont="1" applyFill="1" applyBorder="1" applyAlignment="1" applyProtection="1">
      <alignment horizontal="left" indent="2"/>
    </xf>
    <xf numFmtId="2" fontId="10" fillId="0" borderId="0" xfId="0" applyNumberFormat="1" applyFont="1" applyFill="1" applyBorder="1" applyAlignment="1">
      <alignment horizontal="left"/>
    </xf>
    <xf numFmtId="3" fontId="10" fillId="0" borderId="0" xfId="0" applyNumberFormat="1" applyFont="1" applyFill="1" applyBorder="1" applyAlignment="1"/>
    <xf numFmtId="1" fontId="10" fillId="0" borderId="0" xfId="0" applyNumberFormat="1" applyFont="1" applyFill="1" applyBorder="1" applyAlignment="1"/>
    <xf numFmtId="9" fontId="10" fillId="0" borderId="0" xfId="0" applyNumberFormat="1" applyFont="1" applyFill="1" applyBorder="1" applyAlignment="1"/>
    <xf numFmtId="10" fontId="10" fillId="0" borderId="0" xfId="0" applyNumberFormat="1" applyFont="1" applyFill="1" applyBorder="1" applyAlignment="1"/>
    <xf numFmtId="170" fontId="10" fillId="0" borderId="0" xfId="0" applyNumberFormat="1" applyFont="1" applyFill="1" applyBorder="1" applyAlignment="1"/>
    <xf numFmtId="2" fontId="10" fillId="0" borderId="0" xfId="0" applyNumberFormat="1" applyFont="1" applyFill="1" applyBorder="1" applyAlignment="1"/>
    <xf numFmtId="0" fontId="11" fillId="0" borderId="0" xfId="0" applyFont="1" applyFill="1" applyBorder="1" applyAlignment="1">
      <alignment horizontal="centerContinuous"/>
    </xf>
    <xf numFmtId="0" fontId="8" fillId="0" borderId="0" xfId="0" applyFont="1" applyFill="1" applyBorder="1" applyAlignment="1">
      <alignment horizontal="centerContinuous"/>
    </xf>
    <xf numFmtId="0" fontId="11" fillId="0" borderId="0" xfId="0" applyFont="1" applyFill="1" applyBorder="1" applyAlignment="1"/>
    <xf numFmtId="0" fontId="11" fillId="0" borderId="0" xfId="0" applyFont="1" applyFill="1" applyBorder="1" applyAlignment="1">
      <alignment horizontal="left"/>
    </xf>
    <xf numFmtId="0" fontId="11" fillId="0" borderId="0" xfId="0" applyFont="1" applyFill="1" applyBorder="1" applyAlignment="1">
      <alignment horizontal="center"/>
    </xf>
    <xf numFmtId="0" fontId="8" fillId="0" borderId="0" xfId="0" applyFont="1" applyFill="1" applyBorder="1" applyAlignment="1">
      <alignment horizontal="center"/>
    </xf>
    <xf numFmtId="168" fontId="10" fillId="0" borderId="0" xfId="0" applyNumberFormat="1" applyFont="1" applyFill="1" applyBorder="1" applyAlignment="1">
      <alignment horizontal="center"/>
    </xf>
    <xf numFmtId="164" fontId="10" fillId="0" borderId="0" xfId="0" applyNumberFormat="1" applyFont="1" applyFill="1" applyBorder="1" applyAlignment="1"/>
    <xf numFmtId="168" fontId="10" fillId="0" borderId="0" xfId="0" applyNumberFormat="1" applyFont="1" applyFill="1" applyBorder="1" applyAlignment="1"/>
    <xf numFmtId="164" fontId="10" fillId="0" borderId="0" xfId="0" applyNumberFormat="1" applyFont="1" applyFill="1" applyBorder="1" applyAlignment="1" applyProtection="1"/>
    <xf numFmtId="2" fontId="10" fillId="0" borderId="0" xfId="0" applyNumberFormat="1" applyFont="1" applyFill="1" applyBorder="1" applyAlignment="1" applyProtection="1"/>
    <xf numFmtId="165" fontId="10" fillId="0" borderId="0" xfId="0" applyNumberFormat="1" applyFont="1" applyFill="1" applyBorder="1" applyAlignment="1"/>
    <xf numFmtId="0" fontId="13" fillId="0" borderId="0" xfId="0" applyFont="1" applyFill="1" applyBorder="1" applyAlignment="1" applyProtection="1"/>
    <xf numFmtId="0" fontId="13" fillId="0" borderId="0" xfId="0" applyFont="1" applyFill="1" applyBorder="1" applyAlignment="1"/>
    <xf numFmtId="0" fontId="14" fillId="0" borderId="0" xfId="0" applyFont="1" applyFill="1" applyBorder="1" applyAlignment="1" applyProtection="1"/>
    <xf numFmtId="168" fontId="11" fillId="0" borderId="0" xfId="0" applyNumberFormat="1" applyFont="1" applyFill="1" applyBorder="1" applyAlignment="1" applyProtection="1"/>
    <xf numFmtId="0" fontId="15" fillId="0" borderId="0" xfId="0" applyFont="1" applyFill="1" applyBorder="1" applyAlignment="1" applyProtection="1"/>
    <xf numFmtId="168" fontId="8" fillId="0" borderId="0" xfId="0" applyNumberFormat="1" applyFont="1" applyFill="1" applyBorder="1"/>
    <xf numFmtId="2" fontId="8" fillId="0" borderId="0" xfId="0" applyNumberFormat="1" applyFont="1" applyFill="1" applyBorder="1" applyAlignment="1"/>
    <xf numFmtId="3" fontId="8" fillId="0" borderId="0" xfId="0" applyNumberFormat="1" applyFont="1" applyFill="1" applyBorder="1"/>
    <xf numFmtId="9" fontId="8" fillId="0" borderId="0" xfId="0" applyNumberFormat="1" applyFont="1" applyFill="1" applyBorder="1"/>
    <xf numFmtId="170" fontId="8" fillId="0" borderId="0" xfId="0" applyNumberFormat="1" applyFont="1" applyFill="1" applyBorder="1"/>
    <xf numFmtId="4" fontId="8" fillId="0" borderId="0" xfId="0" applyNumberFormat="1" applyFont="1" applyFill="1" applyBorder="1"/>
    <xf numFmtId="3" fontId="8" fillId="0" borderId="0" xfId="0" applyNumberFormat="1" applyFont="1" applyFill="1" applyBorder="1" applyAlignment="1">
      <alignment horizontal="center"/>
    </xf>
    <xf numFmtId="167" fontId="8" fillId="0" borderId="0" xfId="0" applyNumberFormat="1" applyFont="1" applyFill="1" applyBorder="1" applyAlignment="1">
      <alignment horizontal="center"/>
    </xf>
    <xf numFmtId="169" fontId="8" fillId="0" borderId="0" xfId="0" applyNumberFormat="1" applyFont="1" applyFill="1" applyBorder="1"/>
    <xf numFmtId="0" fontId="13" fillId="0" borderId="0" xfId="0" applyFont="1" applyFill="1" applyBorder="1"/>
    <xf numFmtId="166" fontId="13" fillId="0" borderId="0" xfId="0" applyNumberFormat="1" applyFont="1" applyFill="1" applyBorder="1"/>
    <xf numFmtId="2" fontId="8" fillId="0" borderId="0" xfId="0" applyNumberFormat="1" applyFont="1" applyFill="1" applyBorder="1" applyAlignment="1" applyProtection="1"/>
    <xf numFmtId="0" fontId="8" fillId="0" borderId="0" xfId="0" applyFont="1" applyFill="1" applyBorder="1" applyAlignment="1" applyProtection="1">
      <alignment horizontal="center"/>
    </xf>
    <xf numFmtId="0" fontId="13" fillId="0" borderId="0" xfId="0" applyFont="1" applyFill="1" applyBorder="1" applyAlignment="1">
      <alignment horizontal="center"/>
    </xf>
    <xf numFmtId="165" fontId="8" fillId="0" borderId="0" xfId="0" applyNumberFormat="1" applyFont="1" applyFill="1" applyBorder="1"/>
    <xf numFmtId="3" fontId="10" fillId="0" borderId="0" xfId="0" applyNumberFormat="1" applyFont="1" applyFill="1" applyBorder="1"/>
    <xf numFmtId="4" fontId="13" fillId="0" borderId="0" xfId="0" applyNumberFormat="1" applyFont="1" applyFill="1" applyBorder="1"/>
    <xf numFmtId="2" fontId="8" fillId="0" borderId="0" xfId="0" applyNumberFormat="1" applyFont="1" applyFill="1" applyBorder="1" applyAlignment="1">
      <alignment horizontal="center"/>
    </xf>
    <xf numFmtId="4" fontId="10" fillId="0" borderId="0" xfId="0" applyNumberFormat="1" applyFont="1" applyFill="1" applyBorder="1"/>
    <xf numFmtId="0" fontId="16" fillId="0" borderId="0" xfId="0" applyFont="1" applyFill="1" applyBorder="1"/>
    <xf numFmtId="3" fontId="8" fillId="0" borderId="0" xfId="0" applyNumberFormat="1" applyFont="1" applyFill="1" applyBorder="1" applyAlignment="1">
      <alignment horizontal="right"/>
    </xf>
    <xf numFmtId="166" fontId="8" fillId="0" borderId="0" xfId="0" applyNumberFormat="1" applyFont="1" applyFill="1" applyBorder="1"/>
    <xf numFmtId="166" fontId="8" fillId="0" borderId="0" xfId="0" applyNumberFormat="1" applyFont="1" applyFill="1" applyBorder="1" applyAlignment="1">
      <alignment horizontal="center"/>
    </xf>
    <xf numFmtId="2" fontId="8" fillId="0" borderId="0" xfId="0" applyNumberFormat="1" applyFont="1" applyFill="1" applyBorder="1"/>
    <xf numFmtId="1" fontId="8" fillId="0" borderId="0" xfId="0" applyNumberFormat="1" applyFont="1" applyFill="1" applyBorder="1" applyAlignment="1" applyProtection="1">
      <alignment horizontal="center"/>
    </xf>
    <xf numFmtId="171" fontId="10" fillId="0" borderId="0" xfId="0" applyNumberFormat="1" applyFont="1" applyFill="1" applyBorder="1" applyAlignment="1"/>
    <xf numFmtId="0" fontId="3" fillId="2" borderId="1" xfId="0" applyFont="1" applyFill="1" applyBorder="1"/>
    <xf numFmtId="0" fontId="0" fillId="2" borderId="0" xfId="0" applyFill="1"/>
    <xf numFmtId="0" fontId="3" fillId="2" borderId="0" xfId="0" applyFont="1" applyFill="1" applyBorder="1"/>
    <xf numFmtId="0" fontId="2" fillId="2" borderId="1" xfId="0" applyFont="1" applyFill="1" applyBorder="1" applyAlignment="1">
      <alignment horizontal="center"/>
    </xf>
    <xf numFmtId="0" fontId="3" fillId="2" borderId="1" xfId="0" applyFont="1" applyFill="1" applyBorder="1" applyAlignment="1">
      <alignment horizontal="center"/>
    </xf>
    <xf numFmtId="2" fontId="3" fillId="2" borderId="0" xfId="0" applyNumberFormat="1" applyFont="1" applyFill="1" applyBorder="1" applyAlignment="1" applyProtection="1">
      <protection hidden="1"/>
    </xf>
    <xf numFmtId="2" fontId="3" fillId="2" borderId="0" xfId="0" applyNumberFormat="1" applyFont="1" applyFill="1" applyBorder="1" applyProtection="1">
      <protection hidden="1"/>
    </xf>
    <xf numFmtId="0" fontId="2" fillId="2" borderId="0" xfId="0" applyFont="1" applyFill="1" applyBorder="1"/>
    <xf numFmtId="0" fontId="2" fillId="2" borderId="0" xfId="0" applyFont="1" applyFill="1" applyBorder="1" applyAlignment="1">
      <alignment horizontal="center"/>
    </xf>
    <xf numFmtId="0" fontId="3" fillId="2" borderId="0" xfId="0" applyFont="1" applyFill="1"/>
    <xf numFmtId="2" fontId="2" fillId="3" borderId="0" xfId="0" applyNumberFormat="1" applyFont="1" applyFill="1" applyBorder="1" applyProtection="1"/>
    <xf numFmtId="2" fontId="3" fillId="3" borderId="0" xfId="0" applyNumberFormat="1" applyFont="1" applyFill="1" applyBorder="1" applyProtection="1"/>
    <xf numFmtId="2" fontId="3" fillId="3" borderId="1" xfId="0" applyNumberFormat="1" applyFont="1" applyFill="1" applyBorder="1" applyProtection="1"/>
    <xf numFmtId="1" fontId="3" fillId="2" borderId="2" xfId="0" applyNumberFormat="1" applyFont="1" applyFill="1" applyBorder="1" applyProtection="1">
      <protection locked="0"/>
    </xf>
    <xf numFmtId="2" fontId="3" fillId="2" borderId="2" xfId="0" applyNumberFormat="1" applyFont="1" applyFill="1" applyBorder="1" applyProtection="1">
      <protection locked="0"/>
    </xf>
    <xf numFmtId="9" fontId="3" fillId="2" borderId="2" xfId="0" applyNumberFormat="1" applyFont="1" applyFill="1" applyBorder="1" applyProtection="1">
      <protection locked="0"/>
    </xf>
    <xf numFmtId="0" fontId="3" fillId="4" borderId="0" xfId="0" applyFont="1" applyFill="1" applyBorder="1"/>
    <xf numFmtId="2" fontId="3" fillId="4" borderId="0" xfId="0" applyNumberFormat="1" applyFont="1" applyFill="1" applyBorder="1" applyProtection="1"/>
    <xf numFmtId="0" fontId="2" fillId="4" borderId="0" xfId="0" applyFont="1" applyFill="1" applyBorder="1"/>
    <xf numFmtId="2" fontId="2" fillId="4" borderId="0" xfId="0" applyNumberFormat="1" applyFont="1" applyFill="1" applyBorder="1"/>
    <xf numFmtId="0" fontId="3" fillId="2" borderId="0" xfId="1" applyFont="1" applyFill="1" applyBorder="1"/>
    <xf numFmtId="0" fontId="2" fillId="2" borderId="0" xfId="1" applyFont="1" applyFill="1" applyBorder="1"/>
    <xf numFmtId="2" fontId="2" fillId="2" borderId="0" xfId="0" applyNumberFormat="1" applyFont="1" applyFill="1" applyBorder="1"/>
    <xf numFmtId="2" fontId="17" fillId="2" borderId="0" xfId="0" applyNumberFormat="1" applyFont="1" applyFill="1" applyBorder="1"/>
    <xf numFmtId="2" fontId="3" fillId="2" borderId="0" xfId="0" applyNumberFormat="1" applyFont="1" applyFill="1" applyBorder="1"/>
    <xf numFmtId="0" fontId="0" fillId="2" borderId="0" xfId="0" applyFill="1" applyBorder="1"/>
    <xf numFmtId="0" fontId="5" fillId="2" borderId="0" xfId="0" applyFont="1" applyFill="1"/>
    <xf numFmtId="2" fontId="3" fillId="2" borderId="0" xfId="0" applyNumberFormat="1" applyFont="1" applyFill="1" applyBorder="1" applyProtection="1"/>
    <xf numFmtId="0" fontId="3" fillId="2" borderId="1" xfId="0" applyFont="1" applyFill="1" applyBorder="1" applyProtection="1"/>
    <xf numFmtId="0" fontId="0" fillId="2" borderId="1" xfId="0" applyFill="1" applyBorder="1" applyProtection="1"/>
    <xf numFmtId="0" fontId="3" fillId="2" borderId="1" xfId="0" applyFont="1" applyFill="1" applyBorder="1" applyAlignment="1">
      <alignment horizontal="center" wrapText="1"/>
    </xf>
  </cellXfs>
  <cellStyles count="2">
    <cellStyle name="Normal" xfId="0" builtinId="0"/>
    <cellStyle name="Normal 2" xfId="1" xr:uid="{00000000-0005-0000-0000-00000100000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E7E200"/>
      <rgbColor rgb="00800080"/>
      <rgbColor rgb="00008080"/>
      <rgbColor rgb="00C0C0C0"/>
      <rgbColor rgb="00808080"/>
      <rgbColor rgb="009999FF"/>
      <rgbColor rgb="00993366"/>
      <rgbColor rgb="00FFFFCC"/>
      <rgbColor rgb="00CCFFFF"/>
      <rgbColor rgb="00660066"/>
      <rgbColor rgb="0093EDB1"/>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DCB9FF"/>
      <rgbColor rgb="00FFCC99"/>
      <rgbColor rgb="003366FF"/>
      <rgbColor rgb="0033CCCC"/>
      <rgbColor rgb="00E5FF9B"/>
      <rgbColor rgb="00FFCC00"/>
      <rgbColor rgb="00FF9900"/>
      <rgbColor rgb="00FF6600"/>
      <rgbColor rgb="00FCE430"/>
      <rgbColor rgb="00969696"/>
      <rgbColor rgb="00003366"/>
      <rgbColor rgb="00339966"/>
      <rgbColor rgb="00003300"/>
      <rgbColor rgb="00333300"/>
      <rgbColor rgb="00EBD7A5"/>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1"/>
  <sheetViews>
    <sheetView tabSelected="1" workbookViewId="0"/>
  </sheetViews>
  <sheetFormatPr defaultColWidth="8.7109375" defaultRowHeight="12.75" x14ac:dyDescent="0.2"/>
  <cols>
    <col min="1" max="1" width="32.7109375" customWidth="1"/>
    <col min="2" max="4" width="9" customWidth="1"/>
    <col min="5" max="5" width="10.42578125" customWidth="1"/>
  </cols>
  <sheetData>
    <row r="1" spans="1:25" ht="15" x14ac:dyDescent="0.25">
      <c r="A1" s="110" t="s">
        <v>49</v>
      </c>
      <c r="B1" s="110"/>
      <c r="C1" s="111"/>
      <c r="D1" s="111"/>
      <c r="E1" s="111"/>
      <c r="F1" s="111"/>
      <c r="G1" s="83"/>
      <c r="H1" s="83"/>
      <c r="I1" s="83"/>
      <c r="J1" s="83"/>
      <c r="K1" s="83"/>
      <c r="L1" s="83"/>
      <c r="M1" s="83"/>
      <c r="N1" s="83"/>
      <c r="O1" s="83"/>
      <c r="P1" s="83"/>
      <c r="Q1" s="83"/>
      <c r="R1" s="83"/>
      <c r="S1" s="83"/>
      <c r="T1" s="83"/>
      <c r="U1" s="83"/>
      <c r="V1" s="83"/>
      <c r="W1" s="83"/>
      <c r="X1" s="83"/>
      <c r="Y1" s="83"/>
    </row>
    <row r="2" spans="1:25" ht="33" customHeight="1" x14ac:dyDescent="0.25">
      <c r="A2" s="85" t="s">
        <v>110</v>
      </c>
      <c r="B2" s="112" t="s">
        <v>231</v>
      </c>
      <c r="C2" s="112" t="s">
        <v>232</v>
      </c>
      <c r="D2" s="112" t="s">
        <v>233</v>
      </c>
      <c r="E2" s="112" t="s">
        <v>234</v>
      </c>
      <c r="F2" s="86" t="s">
        <v>42</v>
      </c>
      <c r="G2" s="83"/>
      <c r="H2" s="83"/>
      <c r="I2" s="83"/>
      <c r="J2" s="83"/>
      <c r="K2" s="83"/>
      <c r="L2" s="83"/>
      <c r="M2" s="83"/>
      <c r="N2" s="83"/>
      <c r="O2" s="83"/>
      <c r="P2" s="83"/>
      <c r="Q2" s="83"/>
      <c r="R2" s="83"/>
      <c r="S2" s="83"/>
      <c r="T2" s="83"/>
      <c r="U2" s="83"/>
      <c r="V2" s="83"/>
      <c r="W2" s="83"/>
      <c r="X2" s="83"/>
      <c r="Y2" s="83"/>
    </row>
    <row r="3" spans="1:25" ht="13.9" customHeight="1" x14ac:dyDescent="0.25">
      <c r="A3" s="87" t="s">
        <v>43</v>
      </c>
      <c r="B3" s="95">
        <v>1200</v>
      </c>
      <c r="C3" s="95">
        <v>215</v>
      </c>
      <c r="D3" s="95">
        <v>105</v>
      </c>
      <c r="E3" s="95">
        <v>60</v>
      </c>
      <c r="F3" s="96">
        <v>2.25</v>
      </c>
      <c r="G3" s="83"/>
      <c r="H3" s="83"/>
      <c r="I3" s="83"/>
      <c r="J3" s="83"/>
      <c r="K3" s="83"/>
      <c r="L3" s="83"/>
      <c r="M3" s="83"/>
      <c r="N3" s="83"/>
      <c r="O3" s="83"/>
      <c r="P3" s="83"/>
      <c r="Q3" s="83"/>
      <c r="R3" s="83"/>
      <c r="S3" s="83"/>
      <c r="T3" s="83"/>
      <c r="U3" s="83"/>
      <c r="V3" s="83"/>
      <c r="W3" s="83"/>
      <c r="X3" s="83"/>
      <c r="Y3" s="83"/>
    </row>
    <row r="4" spans="1:25" ht="15" x14ac:dyDescent="0.25">
      <c r="A4" s="87" t="s">
        <v>28</v>
      </c>
      <c r="B4" s="96">
        <v>1</v>
      </c>
      <c r="C4" s="96">
        <v>6.8</v>
      </c>
      <c r="D4" s="96">
        <v>6.5</v>
      </c>
      <c r="E4" s="96">
        <v>15</v>
      </c>
      <c r="F4" s="96">
        <v>490</v>
      </c>
      <c r="G4" s="83"/>
      <c r="H4" s="83"/>
      <c r="I4" s="83"/>
      <c r="J4" s="83"/>
      <c r="K4" s="83"/>
      <c r="L4" s="83"/>
      <c r="M4" s="83"/>
      <c r="N4" s="83"/>
      <c r="O4" s="83"/>
      <c r="P4" s="83"/>
      <c r="Q4" s="83"/>
      <c r="R4" s="83"/>
      <c r="S4" s="83"/>
      <c r="T4" s="83"/>
      <c r="U4" s="83"/>
      <c r="V4" s="83"/>
      <c r="W4" s="83"/>
      <c r="X4" s="83"/>
      <c r="Y4" s="83"/>
    </row>
    <row r="5" spans="1:25" ht="15" x14ac:dyDescent="0.25">
      <c r="A5" s="87" t="s">
        <v>33</v>
      </c>
      <c r="B5" s="97">
        <v>1</v>
      </c>
      <c r="C5" s="97">
        <v>1</v>
      </c>
      <c r="D5" s="97">
        <v>1</v>
      </c>
      <c r="E5" s="97">
        <v>1</v>
      </c>
      <c r="F5" s="97">
        <v>1</v>
      </c>
      <c r="G5" s="83"/>
      <c r="H5" s="83"/>
      <c r="I5" s="83"/>
      <c r="J5" s="83"/>
      <c r="K5" s="83"/>
      <c r="L5" s="83"/>
      <c r="M5" s="83"/>
      <c r="N5" s="83"/>
      <c r="O5" s="83"/>
      <c r="P5" s="83"/>
      <c r="Q5" s="83"/>
      <c r="R5" s="83"/>
      <c r="S5" s="83"/>
      <c r="T5" s="83"/>
      <c r="U5" s="83"/>
      <c r="V5" s="83"/>
      <c r="W5" s="83"/>
      <c r="X5" s="83"/>
      <c r="Y5" s="83"/>
    </row>
    <row r="6" spans="1:25" ht="14.25" x14ac:dyDescent="0.2">
      <c r="A6" s="89" t="s">
        <v>34</v>
      </c>
      <c r="B6" s="92">
        <f>B3*B4*B5</f>
        <v>1200</v>
      </c>
      <c r="C6" s="92">
        <f t="shared" ref="C6:E6" si="0">C3*C4*C5</f>
        <v>1462</v>
      </c>
      <c r="D6" s="92">
        <f t="shared" si="0"/>
        <v>682.5</v>
      </c>
      <c r="E6" s="92">
        <f t="shared" si="0"/>
        <v>900</v>
      </c>
      <c r="F6" s="92">
        <f t="shared" ref="F6" si="1">F3*F4*F5</f>
        <v>1102.5</v>
      </c>
      <c r="G6" s="83"/>
      <c r="H6" s="83"/>
      <c r="I6" s="83"/>
      <c r="J6" s="83"/>
      <c r="K6" s="83"/>
      <c r="L6" s="83"/>
      <c r="M6" s="83"/>
      <c r="N6" s="83"/>
      <c r="O6" s="83"/>
      <c r="P6" s="83"/>
      <c r="Q6" s="83"/>
      <c r="R6" s="83"/>
      <c r="S6" s="83"/>
      <c r="T6" s="83"/>
      <c r="U6" s="83"/>
      <c r="V6" s="83"/>
      <c r="W6" s="83"/>
      <c r="X6" s="83"/>
      <c r="Y6" s="83"/>
    </row>
    <row r="7" spans="1:25" ht="17.25" x14ac:dyDescent="0.25">
      <c r="A7" s="89" t="s">
        <v>47</v>
      </c>
      <c r="B7" s="92"/>
      <c r="C7" s="92"/>
      <c r="D7" s="92"/>
      <c r="E7" s="92"/>
      <c r="F7" s="92"/>
      <c r="G7" s="83"/>
      <c r="H7" s="104"/>
      <c r="I7" s="106"/>
      <c r="J7" s="107"/>
      <c r="K7" s="107"/>
      <c r="L7" s="107"/>
      <c r="M7" s="83"/>
      <c r="N7" s="83"/>
      <c r="O7" s="83"/>
      <c r="P7" s="83"/>
      <c r="Q7" s="83"/>
      <c r="R7" s="83"/>
      <c r="S7" s="83"/>
      <c r="T7" s="83"/>
      <c r="U7" s="83"/>
      <c r="V7" s="83"/>
      <c r="W7" s="83"/>
      <c r="X7" s="83"/>
      <c r="Y7" s="83"/>
    </row>
    <row r="8" spans="1:25" ht="4.9000000000000004" customHeight="1" x14ac:dyDescent="0.25">
      <c r="A8" s="100"/>
      <c r="B8" s="101"/>
      <c r="C8" s="101"/>
      <c r="D8" s="101"/>
      <c r="E8" s="101"/>
      <c r="F8" s="101"/>
      <c r="G8" s="107"/>
      <c r="H8" s="84"/>
      <c r="I8" s="106"/>
      <c r="J8" s="107"/>
      <c r="K8" s="107"/>
      <c r="L8" s="107"/>
      <c r="M8" s="83"/>
      <c r="N8" s="83"/>
      <c r="O8" s="83"/>
      <c r="P8" s="83"/>
      <c r="Q8" s="83"/>
      <c r="R8" s="83"/>
      <c r="S8" s="83"/>
      <c r="T8" s="83"/>
      <c r="U8" s="83"/>
      <c r="V8" s="83"/>
      <c r="W8" s="83"/>
      <c r="X8" s="83"/>
      <c r="Y8" s="83"/>
    </row>
    <row r="9" spans="1:25" ht="15" x14ac:dyDescent="0.25">
      <c r="A9" s="90" t="s">
        <v>112</v>
      </c>
      <c r="B9" s="88"/>
      <c r="C9" s="88"/>
      <c r="D9" s="88"/>
      <c r="E9" s="88"/>
      <c r="F9" s="88"/>
      <c r="G9" s="107"/>
      <c r="H9" s="106"/>
      <c r="I9" s="106"/>
      <c r="J9" s="107"/>
      <c r="K9" s="107"/>
      <c r="L9" s="107"/>
      <c r="M9" s="83"/>
      <c r="N9" s="83"/>
      <c r="O9" s="83"/>
      <c r="P9" s="83"/>
      <c r="Q9" s="83"/>
      <c r="R9" s="83"/>
      <c r="S9" s="83"/>
      <c r="T9" s="83"/>
      <c r="U9" s="83"/>
      <c r="V9" s="83"/>
      <c r="W9" s="83"/>
      <c r="X9" s="83"/>
      <c r="Y9" s="83"/>
    </row>
    <row r="10" spans="1:25" ht="15" x14ac:dyDescent="0.25">
      <c r="A10" s="84" t="s">
        <v>29</v>
      </c>
      <c r="B10" s="96">
        <v>700.24</v>
      </c>
      <c r="C10" s="96">
        <v>748.56</v>
      </c>
      <c r="D10" s="96">
        <v>461.71</v>
      </c>
      <c r="E10" s="96">
        <v>445.03</v>
      </c>
      <c r="F10" s="96">
        <v>444.25</v>
      </c>
      <c r="G10" s="107"/>
      <c r="H10" s="106"/>
      <c r="I10" s="106"/>
      <c r="J10" s="107"/>
      <c r="K10" s="107"/>
      <c r="L10" s="107"/>
      <c r="M10" s="83"/>
      <c r="N10" s="83"/>
      <c r="O10" s="83"/>
      <c r="P10" s="83"/>
      <c r="Q10" s="83"/>
      <c r="R10" s="83"/>
      <c r="S10" s="83"/>
      <c r="T10" s="83"/>
      <c r="U10" s="83"/>
      <c r="V10" s="83"/>
      <c r="W10" s="83"/>
      <c r="X10" s="83"/>
      <c r="Y10" s="83"/>
    </row>
    <row r="11" spans="1:25" ht="15" x14ac:dyDescent="0.25">
      <c r="A11" s="84" t="s">
        <v>30</v>
      </c>
      <c r="B11" s="96">
        <f>IF(AND(B5=1,B15=0),80.21,73.09)</f>
        <v>80.209999999999994</v>
      </c>
      <c r="C11" s="96">
        <f>IF(AND(C5=1,C15=0),75.56,67.25)</f>
        <v>75.56</v>
      </c>
      <c r="D11" s="96">
        <f>IF(AND(D5=1,D15=0),59.98,54.05)</f>
        <v>59.98</v>
      </c>
      <c r="E11" s="96">
        <f>IF(AND(E5=1,E15=0),60.74,53.61)</f>
        <v>60.74</v>
      </c>
      <c r="F11" s="96">
        <f>IF(AND(F5=1,F15=0),77.29,70.16)</f>
        <v>77.290000000000006</v>
      </c>
      <c r="G11" s="107"/>
      <c r="H11" s="106"/>
      <c r="I11" s="106"/>
      <c r="J11" s="107"/>
      <c r="K11" s="107"/>
      <c r="L11" s="107"/>
      <c r="M11" s="83"/>
      <c r="N11" s="83"/>
      <c r="O11" s="83"/>
      <c r="P11" s="83"/>
      <c r="Q11" s="83"/>
      <c r="R11" s="83"/>
      <c r="S11" s="83"/>
      <c r="T11" s="83"/>
      <c r="U11" s="83"/>
      <c r="V11" s="83"/>
      <c r="W11" s="83"/>
      <c r="X11" s="83"/>
      <c r="Y11" s="83"/>
    </row>
    <row r="12" spans="1:25" ht="15" x14ac:dyDescent="0.25">
      <c r="A12" s="84" t="s">
        <v>35</v>
      </c>
      <c r="B12" s="93">
        <f>SUM(B10:B11)</f>
        <v>780.45</v>
      </c>
      <c r="C12" s="93">
        <f>SUM(C10:C11)</f>
        <v>824.11999999999989</v>
      </c>
      <c r="D12" s="93">
        <f>SUM(D10:D11)</f>
        <v>521.68999999999994</v>
      </c>
      <c r="E12" s="93">
        <f>SUM(E10:E11)</f>
        <v>505.77</v>
      </c>
      <c r="F12" s="93">
        <f>SUM(F10:F11)</f>
        <v>521.54</v>
      </c>
      <c r="G12" s="107"/>
      <c r="H12" s="106"/>
      <c r="I12" s="106"/>
      <c r="J12" s="107"/>
      <c r="K12" s="107"/>
      <c r="L12" s="107"/>
      <c r="M12" s="83"/>
      <c r="N12" s="83"/>
      <c r="O12" s="83"/>
      <c r="P12" s="83"/>
      <c r="Q12" s="83"/>
      <c r="R12" s="83"/>
      <c r="S12" s="83"/>
      <c r="T12" s="83"/>
      <c r="U12" s="83"/>
      <c r="V12" s="83"/>
      <c r="W12" s="83"/>
      <c r="X12" s="83"/>
      <c r="Y12" s="83"/>
    </row>
    <row r="13" spans="1:25" ht="15" x14ac:dyDescent="0.25">
      <c r="A13" s="84" t="s">
        <v>111</v>
      </c>
      <c r="B13" s="96">
        <f>((198.48/1200)*B3)</f>
        <v>198.48</v>
      </c>
      <c r="C13" s="96">
        <f>(96.75/215)*C3</f>
        <v>96.75</v>
      </c>
      <c r="D13" s="96">
        <f>(27.3/105)*D3</f>
        <v>27.3</v>
      </c>
      <c r="E13" s="96">
        <f>(19.2/60)*E3</f>
        <v>19.2</v>
      </c>
      <c r="F13" s="96">
        <f>(81.11/2.25)*F3</f>
        <v>81.11</v>
      </c>
      <c r="G13" s="107"/>
      <c r="H13" s="104"/>
      <c r="I13" s="106"/>
      <c r="J13" s="107"/>
      <c r="K13" s="107"/>
      <c r="L13" s="107"/>
      <c r="M13" s="83"/>
      <c r="N13" s="83"/>
      <c r="O13" s="83"/>
      <c r="P13" s="83"/>
      <c r="Q13" s="83"/>
      <c r="R13" s="83"/>
      <c r="S13" s="83"/>
      <c r="T13" s="83"/>
      <c r="U13" s="83"/>
      <c r="V13" s="83"/>
      <c r="W13" s="83"/>
      <c r="X13" s="83"/>
      <c r="Y13" s="83"/>
    </row>
    <row r="14" spans="1:25" ht="17.25" x14ac:dyDescent="0.25">
      <c r="A14" s="89" t="s">
        <v>36</v>
      </c>
      <c r="B14" s="92">
        <f>B12+(B13-(B7*(B3/500)*B5))-(B13-(B7*(B3/500)*B5))</f>
        <v>780.45</v>
      </c>
      <c r="C14" s="92">
        <f>SUM(C12:C13)</f>
        <v>920.86999999999989</v>
      </c>
      <c r="D14" s="92">
        <f t="shared" ref="D14:E14" si="2">SUM(D12:D13)</f>
        <v>548.9899999999999</v>
      </c>
      <c r="E14" s="92">
        <f t="shared" si="2"/>
        <v>524.97</v>
      </c>
      <c r="F14" s="92">
        <f t="shared" ref="F14" si="3">SUM(F12:F13)</f>
        <v>602.65</v>
      </c>
      <c r="G14" s="107"/>
      <c r="H14" s="105"/>
      <c r="I14" s="106"/>
      <c r="J14" s="107"/>
      <c r="K14" s="107"/>
      <c r="L14" s="107"/>
      <c r="M14" s="83"/>
      <c r="N14" s="83"/>
      <c r="O14" s="83"/>
      <c r="P14" s="83"/>
      <c r="Q14" s="83"/>
      <c r="R14" s="83"/>
      <c r="S14" s="83"/>
      <c r="T14" s="83"/>
      <c r="U14" s="83"/>
      <c r="V14" s="83"/>
      <c r="W14" s="83"/>
      <c r="X14" s="83"/>
      <c r="Y14" s="83"/>
    </row>
    <row r="15" spans="1:25" ht="15" x14ac:dyDescent="0.25">
      <c r="A15" s="84" t="s">
        <v>32</v>
      </c>
      <c r="B15" s="96">
        <v>0</v>
      </c>
      <c r="C15" s="96">
        <v>0</v>
      </c>
      <c r="D15" s="96">
        <v>0</v>
      </c>
      <c r="E15" s="96">
        <v>0</v>
      </c>
      <c r="F15" s="96">
        <v>0</v>
      </c>
      <c r="G15" s="107"/>
      <c r="H15" s="104"/>
      <c r="I15" s="106"/>
      <c r="J15" s="107"/>
      <c r="K15" s="107"/>
      <c r="L15" s="107"/>
      <c r="M15" s="83"/>
      <c r="N15" s="83"/>
      <c r="O15" s="83"/>
      <c r="P15" s="83"/>
      <c r="Q15" s="83"/>
      <c r="R15" s="83"/>
      <c r="S15" s="83"/>
      <c r="T15" s="83"/>
      <c r="U15" s="83"/>
      <c r="V15" s="83"/>
      <c r="W15" s="83"/>
      <c r="X15" s="83"/>
      <c r="Y15" s="83"/>
    </row>
    <row r="16" spans="1:25" ht="18" customHeight="1" x14ac:dyDescent="0.25">
      <c r="A16" s="89" t="s">
        <v>37</v>
      </c>
      <c r="B16" s="92">
        <f>B6-B14-B15</f>
        <v>419.54999999999995</v>
      </c>
      <c r="C16" s="92">
        <f>C6-C14</f>
        <v>541.13000000000011</v>
      </c>
      <c r="D16" s="92">
        <f>D6-D14</f>
        <v>133.5100000000001</v>
      </c>
      <c r="E16" s="92">
        <f>E6-E14</f>
        <v>375.03</v>
      </c>
      <c r="F16" s="92">
        <f>F6-F14</f>
        <v>499.85</v>
      </c>
      <c r="G16" s="107"/>
      <c r="H16" s="84"/>
      <c r="I16" s="106"/>
      <c r="J16" s="107"/>
      <c r="K16" s="107"/>
      <c r="L16" s="107"/>
      <c r="M16" s="83"/>
      <c r="N16" s="83"/>
      <c r="O16" s="83"/>
      <c r="P16" s="83"/>
      <c r="Q16" s="83"/>
      <c r="R16" s="83"/>
      <c r="S16" s="83"/>
      <c r="T16" s="83"/>
      <c r="U16" s="83"/>
      <c r="V16" s="83"/>
      <c r="W16" s="83"/>
      <c r="X16" s="83"/>
      <c r="Y16" s="83"/>
    </row>
    <row r="17" spans="1:25" ht="15" x14ac:dyDescent="0.25">
      <c r="A17" s="84" t="s">
        <v>31</v>
      </c>
      <c r="B17" s="96">
        <f>IF(AND(B5=1,B15=0),215.68,154.87)</f>
        <v>215.68</v>
      </c>
      <c r="C17" s="96">
        <f>IF(AND(C5=1,C15=0),166.93,97.08)</f>
        <v>166.93</v>
      </c>
      <c r="D17" s="96">
        <f>IF(AND(D5=1,D15=0),144.14,92.35)</f>
        <v>144.13999999999999</v>
      </c>
      <c r="E17" s="96">
        <f>IF(AND(E5=1,E15=0),173.44,112.62)</f>
        <v>173.44</v>
      </c>
      <c r="F17" s="96">
        <f>IF(AND(F5=1,F15=0),268.45,207.63)</f>
        <v>268.45</v>
      </c>
      <c r="G17" s="107"/>
      <c r="H17" s="106"/>
      <c r="I17" s="106"/>
      <c r="J17" s="107"/>
      <c r="K17" s="107"/>
      <c r="L17" s="107"/>
      <c r="M17" s="83"/>
      <c r="N17" s="83"/>
      <c r="O17" s="83"/>
      <c r="P17" s="83"/>
      <c r="Q17" s="83"/>
      <c r="R17" s="83"/>
      <c r="S17" s="83"/>
      <c r="T17" s="83"/>
      <c r="U17" s="83"/>
      <c r="V17" s="83"/>
      <c r="W17" s="83"/>
      <c r="X17" s="83"/>
      <c r="Y17" s="83"/>
    </row>
    <row r="18" spans="1:25" ht="18" customHeight="1" x14ac:dyDescent="0.25">
      <c r="A18" s="89" t="s">
        <v>38</v>
      </c>
      <c r="B18" s="92">
        <f t="shared" ref="B18:F18" si="4">B14+B17</f>
        <v>996.13000000000011</v>
      </c>
      <c r="C18" s="92">
        <f t="shared" si="4"/>
        <v>1087.8</v>
      </c>
      <c r="D18" s="92">
        <f t="shared" si="4"/>
        <v>693.12999999999988</v>
      </c>
      <c r="E18" s="92">
        <f t="shared" si="4"/>
        <v>698.41000000000008</v>
      </c>
      <c r="F18" s="92">
        <f t="shared" si="4"/>
        <v>871.09999999999991</v>
      </c>
      <c r="G18" s="107"/>
      <c r="H18" s="104"/>
      <c r="I18" s="106"/>
      <c r="J18" s="107"/>
      <c r="K18" s="107"/>
      <c r="L18" s="107"/>
      <c r="M18" s="83"/>
      <c r="N18" s="83"/>
      <c r="O18" s="83"/>
      <c r="P18" s="83"/>
      <c r="Q18" s="83"/>
      <c r="R18" s="83"/>
      <c r="S18" s="83"/>
      <c r="T18" s="83"/>
      <c r="U18" s="83"/>
      <c r="V18" s="83"/>
      <c r="W18" s="83"/>
      <c r="X18" s="83"/>
      <c r="Y18" s="83"/>
    </row>
    <row r="19" spans="1:25" ht="18" customHeight="1" x14ac:dyDescent="0.2">
      <c r="A19" s="89" t="s">
        <v>39</v>
      </c>
      <c r="B19" s="92">
        <f>B6-B18-B15</f>
        <v>203.86999999999989</v>
      </c>
      <c r="C19" s="92">
        <f>C6-C18-C15</f>
        <v>374.20000000000005</v>
      </c>
      <c r="D19" s="92">
        <f>D6-D18-D15</f>
        <v>-10.629999999999882</v>
      </c>
      <c r="E19" s="92">
        <f>E6-E18-E15</f>
        <v>201.58999999999992</v>
      </c>
      <c r="F19" s="92">
        <f>F6-F18-F15</f>
        <v>231.40000000000009</v>
      </c>
      <c r="G19" s="107"/>
      <c r="H19" s="107"/>
      <c r="I19" s="107"/>
      <c r="J19" s="107"/>
      <c r="K19" s="107"/>
      <c r="L19" s="107"/>
      <c r="M19" s="83"/>
      <c r="N19" s="83"/>
      <c r="O19" s="83"/>
      <c r="P19" s="83"/>
      <c r="Q19" s="83"/>
      <c r="R19" s="83"/>
      <c r="S19" s="83"/>
      <c r="T19" s="83"/>
      <c r="U19" s="83"/>
      <c r="V19" s="83"/>
      <c r="W19" s="83"/>
      <c r="X19" s="83"/>
      <c r="Y19" s="83"/>
    </row>
    <row r="20" spans="1:25" ht="4.9000000000000004" customHeight="1" x14ac:dyDescent="0.2">
      <c r="A20" s="100"/>
      <c r="B20" s="101"/>
      <c r="C20" s="101"/>
      <c r="D20" s="101"/>
      <c r="E20" s="101"/>
      <c r="F20" s="101"/>
      <c r="G20" s="83"/>
      <c r="H20" s="107"/>
      <c r="I20" s="107"/>
      <c r="J20" s="107"/>
      <c r="K20" s="107"/>
      <c r="L20" s="83"/>
      <c r="M20" s="83"/>
      <c r="N20" s="83"/>
      <c r="O20" s="83"/>
      <c r="P20" s="83"/>
      <c r="Q20" s="83"/>
      <c r="R20" s="83"/>
      <c r="S20" s="83"/>
      <c r="T20" s="83"/>
      <c r="U20" s="83"/>
      <c r="V20" s="83"/>
      <c r="W20" s="83"/>
      <c r="X20" s="83"/>
      <c r="Y20" s="83"/>
    </row>
    <row r="21" spans="1:25" ht="15" x14ac:dyDescent="0.25">
      <c r="A21" s="87" t="s">
        <v>27</v>
      </c>
      <c r="B21" s="93">
        <f>B14/B3</f>
        <v>0.65037500000000004</v>
      </c>
      <c r="C21" s="93">
        <f>C14/C3</f>
        <v>4.283116279069767</v>
      </c>
      <c r="D21" s="93">
        <f>D14/D3</f>
        <v>5.2284761904761892</v>
      </c>
      <c r="E21" s="93">
        <f>E14/E3</f>
        <v>8.7495000000000012</v>
      </c>
      <c r="F21" s="93">
        <f>F14/F3</f>
        <v>267.84444444444443</v>
      </c>
      <c r="G21" s="83"/>
      <c r="H21" s="107"/>
      <c r="I21" s="107"/>
      <c r="J21" s="107"/>
      <c r="K21" s="107"/>
      <c r="L21" s="83"/>
      <c r="M21" s="83"/>
      <c r="N21" s="83"/>
      <c r="O21" s="83"/>
      <c r="P21" s="83"/>
      <c r="Q21" s="83"/>
      <c r="R21" s="83"/>
      <c r="S21" s="83"/>
      <c r="T21" s="83"/>
      <c r="U21" s="83"/>
      <c r="V21" s="83"/>
      <c r="W21" s="83"/>
      <c r="X21" s="83"/>
      <c r="Y21" s="83"/>
    </row>
    <row r="22" spans="1:25" ht="18" x14ac:dyDescent="0.25">
      <c r="A22" s="84" t="s">
        <v>44</v>
      </c>
      <c r="B22" s="93">
        <f>B18/B3</f>
        <v>0.83010833333333345</v>
      </c>
      <c r="C22" s="93">
        <f>C18/C3</f>
        <v>5.0595348837209304</v>
      </c>
      <c r="D22" s="93">
        <f>D18/D3</f>
        <v>6.6012380952380942</v>
      </c>
      <c r="E22" s="93">
        <f>E18/E3</f>
        <v>11.640166666666667</v>
      </c>
      <c r="F22" s="93">
        <f>F18/F3</f>
        <v>387.15555555555551</v>
      </c>
      <c r="G22" s="83"/>
      <c r="H22" s="107"/>
      <c r="I22" s="107"/>
      <c r="J22" s="107"/>
      <c r="K22" s="107"/>
      <c r="L22" s="83"/>
      <c r="M22" s="83"/>
      <c r="N22" s="83"/>
      <c r="O22" s="83"/>
      <c r="P22" s="83"/>
      <c r="Q22" s="83"/>
      <c r="R22" s="83"/>
      <c r="S22" s="83"/>
      <c r="T22" s="83"/>
      <c r="U22" s="83"/>
      <c r="V22" s="83"/>
      <c r="W22" s="83"/>
      <c r="X22" s="83"/>
      <c r="Y22" s="83"/>
    </row>
    <row r="23" spans="1:25" ht="4.9000000000000004" customHeight="1" x14ac:dyDescent="0.25">
      <c r="A23" s="98"/>
      <c r="B23" s="99"/>
      <c r="C23" s="99"/>
      <c r="D23" s="99"/>
      <c r="E23" s="99"/>
      <c r="F23" s="99"/>
      <c r="G23" s="83"/>
      <c r="H23" s="107"/>
      <c r="I23" s="107"/>
      <c r="J23" s="107"/>
      <c r="K23" s="107"/>
      <c r="L23" s="83"/>
      <c r="M23" s="83"/>
      <c r="N23" s="83"/>
      <c r="O23" s="83"/>
      <c r="P23" s="83"/>
      <c r="Q23" s="83"/>
      <c r="R23" s="83"/>
      <c r="S23" s="83"/>
      <c r="T23" s="83"/>
      <c r="U23" s="83"/>
      <c r="V23" s="83"/>
      <c r="W23" s="83"/>
      <c r="X23" s="83"/>
      <c r="Y23" s="83"/>
    </row>
    <row r="24" spans="1:25" ht="15" x14ac:dyDescent="0.25">
      <c r="A24" s="84" t="s">
        <v>50</v>
      </c>
      <c r="B24" s="93">
        <f>MAX((1-B5)*B3*B4,B15)</f>
        <v>0</v>
      </c>
      <c r="C24" s="93">
        <f>MAX((1-C5)*C3*C4,C15)</f>
        <v>0</v>
      </c>
      <c r="D24" s="93">
        <f>MAX((1-D5)*D3*D4,D15)</f>
        <v>0</v>
      </c>
      <c r="E24" s="93">
        <f>MAX((1-E5)*E3*E4,E15)</f>
        <v>0</v>
      </c>
      <c r="F24" s="93">
        <f>MAX((1-F5)*F3*F4,F15)</f>
        <v>0</v>
      </c>
      <c r="G24" s="109"/>
      <c r="H24" s="83"/>
      <c r="I24" s="83"/>
      <c r="J24" s="83"/>
      <c r="K24" s="83"/>
      <c r="L24" s="83"/>
      <c r="M24" s="83"/>
      <c r="N24" s="83"/>
      <c r="O24" s="83"/>
      <c r="P24" s="83"/>
      <c r="Q24" s="83"/>
      <c r="R24" s="83"/>
      <c r="S24" s="83"/>
      <c r="T24" s="83"/>
      <c r="U24" s="83"/>
      <c r="V24" s="83"/>
      <c r="W24" s="83"/>
      <c r="X24" s="83"/>
      <c r="Y24" s="83"/>
    </row>
    <row r="25" spans="1:25" ht="15" x14ac:dyDescent="0.25">
      <c r="A25" s="84" t="s">
        <v>51</v>
      </c>
      <c r="B25" s="93">
        <f>MAX((1-B5)*B3*B4,B15)/B3</f>
        <v>0</v>
      </c>
      <c r="C25" s="93">
        <f>MAX((1-C5)*C3*C4,C15)/C3</f>
        <v>0</v>
      </c>
      <c r="D25" s="93">
        <f>MAX((1-D5)*D3*D4,D15)/D3</f>
        <v>0</v>
      </c>
      <c r="E25" s="93">
        <f>MAX((1-E5)*E3*E4,E15)/E3</f>
        <v>0</v>
      </c>
      <c r="F25" s="93">
        <f>MAX((1-F5)*F3*F4,F15)/F3</f>
        <v>0</v>
      </c>
      <c r="G25" s="83"/>
      <c r="H25" s="83"/>
      <c r="I25" s="83"/>
      <c r="J25" s="83"/>
      <c r="K25" s="83"/>
      <c r="L25" s="83"/>
      <c r="M25" s="83"/>
      <c r="N25" s="83"/>
      <c r="O25" s="83"/>
      <c r="P25" s="83"/>
      <c r="Q25" s="83"/>
      <c r="R25" s="83"/>
      <c r="S25" s="83"/>
      <c r="T25" s="83"/>
      <c r="U25" s="83"/>
      <c r="V25" s="83"/>
      <c r="W25" s="83"/>
      <c r="X25" s="83"/>
      <c r="Y25" s="83"/>
    </row>
    <row r="26" spans="1:25" ht="4.9000000000000004" customHeight="1" x14ac:dyDescent="0.2">
      <c r="A26" s="100"/>
      <c r="B26" s="101"/>
      <c r="C26" s="101"/>
      <c r="D26" s="101"/>
      <c r="E26" s="101"/>
      <c r="F26" s="101"/>
      <c r="G26" s="83"/>
      <c r="H26" s="83"/>
      <c r="I26" s="83"/>
      <c r="J26" s="83"/>
      <c r="K26" s="83"/>
      <c r="L26" s="83"/>
      <c r="M26" s="83"/>
      <c r="N26" s="83"/>
      <c r="O26" s="83"/>
      <c r="P26" s="83"/>
      <c r="Q26" s="83"/>
      <c r="R26" s="83"/>
      <c r="S26" s="83"/>
      <c r="T26" s="83"/>
      <c r="U26" s="83"/>
      <c r="V26" s="83"/>
      <c r="W26" s="83"/>
      <c r="X26" s="83"/>
      <c r="Y26" s="83"/>
    </row>
    <row r="27" spans="1:25" ht="15" customHeight="1" x14ac:dyDescent="0.25">
      <c r="A27" s="84" t="s">
        <v>52</v>
      </c>
      <c r="B27" s="93">
        <f>B21+B25</f>
        <v>0.65037500000000004</v>
      </c>
      <c r="C27" s="93">
        <f t="shared" ref="C27:F27" si="5">C21+C25</f>
        <v>4.283116279069767</v>
      </c>
      <c r="D27" s="93">
        <f t="shared" si="5"/>
        <v>5.2284761904761892</v>
      </c>
      <c r="E27" s="93">
        <f t="shared" si="5"/>
        <v>8.7495000000000012</v>
      </c>
      <c r="F27" s="93">
        <f t="shared" si="5"/>
        <v>267.84444444444443</v>
      </c>
      <c r="G27" s="83"/>
      <c r="H27" s="83"/>
      <c r="I27" s="83"/>
      <c r="J27" s="83"/>
      <c r="K27" s="83"/>
      <c r="L27" s="83"/>
      <c r="M27" s="83"/>
      <c r="N27" s="83"/>
      <c r="O27" s="83"/>
      <c r="P27" s="83"/>
      <c r="Q27" s="83"/>
      <c r="R27" s="83"/>
      <c r="S27" s="83"/>
      <c r="T27" s="83"/>
      <c r="U27" s="83"/>
      <c r="V27" s="83"/>
      <c r="W27" s="83"/>
      <c r="X27" s="83"/>
      <c r="Y27" s="83"/>
    </row>
    <row r="28" spans="1:25" ht="15" x14ac:dyDescent="0.25">
      <c r="A28" s="82" t="s">
        <v>45</v>
      </c>
      <c r="B28" s="94">
        <f>B22+B25</f>
        <v>0.83010833333333345</v>
      </c>
      <c r="C28" s="94">
        <f t="shared" ref="C28:F28" si="6">C22+C25</f>
        <v>5.0595348837209304</v>
      </c>
      <c r="D28" s="94">
        <f t="shared" si="6"/>
        <v>6.6012380952380942</v>
      </c>
      <c r="E28" s="94">
        <f t="shared" si="6"/>
        <v>11.640166666666667</v>
      </c>
      <c r="F28" s="94">
        <f t="shared" si="6"/>
        <v>387.15555555555551</v>
      </c>
      <c r="G28" s="83"/>
      <c r="H28" s="83"/>
      <c r="I28" s="83"/>
      <c r="J28" s="83"/>
      <c r="K28" s="83"/>
      <c r="L28" s="83"/>
      <c r="M28" s="83"/>
      <c r="N28" s="83"/>
      <c r="O28" s="83"/>
      <c r="P28" s="83"/>
      <c r="Q28" s="83"/>
      <c r="R28" s="83"/>
      <c r="S28" s="83"/>
      <c r="T28" s="83"/>
      <c r="U28" s="83"/>
      <c r="V28" s="83"/>
      <c r="W28" s="83"/>
      <c r="X28" s="83"/>
      <c r="Y28" s="83"/>
    </row>
    <row r="29" spans="1:25" ht="4.9000000000000004" customHeight="1" x14ac:dyDescent="0.25">
      <c r="A29" s="91"/>
      <c r="B29" s="91"/>
      <c r="C29" s="91"/>
      <c r="D29" s="91"/>
      <c r="E29" s="91"/>
      <c r="F29" s="83"/>
      <c r="G29" s="83"/>
      <c r="H29" s="83"/>
      <c r="I29" s="83"/>
      <c r="J29" s="83"/>
      <c r="K29" s="83"/>
      <c r="L29" s="83"/>
      <c r="M29" s="83"/>
      <c r="N29" s="83"/>
      <c r="O29" s="83"/>
      <c r="P29" s="83"/>
      <c r="Q29" s="83"/>
      <c r="R29" s="83"/>
      <c r="S29" s="83"/>
      <c r="T29" s="83"/>
      <c r="U29" s="83"/>
      <c r="V29" s="83"/>
      <c r="W29" s="83"/>
      <c r="X29" s="83"/>
      <c r="Y29" s="83"/>
    </row>
    <row r="30" spans="1:25" ht="18" customHeight="1" x14ac:dyDescent="0.25">
      <c r="A30" s="108" t="s">
        <v>46</v>
      </c>
      <c r="B30" s="91"/>
      <c r="C30" s="91"/>
      <c r="D30" s="91"/>
      <c r="E30" s="91"/>
      <c r="F30" s="83"/>
      <c r="G30" s="83"/>
      <c r="H30" s="83"/>
      <c r="I30" s="83"/>
      <c r="J30" s="83"/>
      <c r="K30" s="83"/>
      <c r="L30" s="83"/>
      <c r="M30" s="83"/>
      <c r="N30" s="83"/>
      <c r="O30" s="83"/>
      <c r="P30" s="83"/>
      <c r="Q30" s="83"/>
      <c r="R30" s="83"/>
      <c r="S30" s="83"/>
      <c r="T30" s="83"/>
      <c r="U30" s="83"/>
      <c r="V30" s="83"/>
      <c r="W30" s="83"/>
      <c r="X30" s="83"/>
      <c r="Y30" s="83"/>
    </row>
    <row r="31" spans="1:25" ht="15" customHeight="1" x14ac:dyDescent="0.25">
      <c r="A31" s="108" t="s">
        <v>48</v>
      </c>
      <c r="B31" s="91"/>
      <c r="C31" s="91"/>
      <c r="D31" s="91"/>
      <c r="E31" s="91"/>
      <c r="F31" s="83"/>
      <c r="G31" s="83"/>
      <c r="H31" s="83"/>
      <c r="I31" s="83"/>
      <c r="J31" s="83"/>
      <c r="K31" s="83"/>
      <c r="L31" s="83"/>
      <c r="M31" s="83"/>
      <c r="N31" s="83"/>
      <c r="O31" s="83"/>
      <c r="P31" s="83"/>
      <c r="Q31" s="83"/>
      <c r="R31" s="83"/>
      <c r="S31" s="83"/>
      <c r="T31" s="83"/>
      <c r="U31" s="83"/>
      <c r="V31" s="83"/>
      <c r="W31" s="83"/>
      <c r="X31" s="83"/>
      <c r="Y31" s="83"/>
    </row>
    <row r="32" spans="1:25" ht="18" customHeight="1" x14ac:dyDescent="0.25">
      <c r="A32" s="108" t="s">
        <v>40</v>
      </c>
      <c r="B32" s="102"/>
      <c r="C32" s="106"/>
      <c r="D32" s="106"/>
      <c r="E32" s="91"/>
      <c r="F32" s="83"/>
      <c r="G32" s="83"/>
      <c r="H32" s="83"/>
      <c r="I32" s="83"/>
      <c r="J32" s="83"/>
      <c r="K32" s="83"/>
      <c r="L32" s="83"/>
      <c r="M32" s="83"/>
      <c r="N32" s="83"/>
      <c r="O32" s="83"/>
      <c r="P32" s="83"/>
      <c r="Q32" s="83"/>
      <c r="R32" s="83"/>
      <c r="S32" s="83"/>
      <c r="T32" s="83"/>
      <c r="U32" s="83"/>
      <c r="V32" s="83"/>
      <c r="W32" s="83"/>
      <c r="X32" s="83"/>
      <c r="Y32" s="83"/>
    </row>
    <row r="33" spans="1:25" ht="18" customHeight="1" x14ac:dyDescent="0.25">
      <c r="A33" s="91" t="s">
        <v>41</v>
      </c>
      <c r="B33" s="91"/>
      <c r="C33" s="91"/>
      <c r="D33" s="91"/>
      <c r="E33" s="91"/>
      <c r="F33" s="83"/>
      <c r="G33" s="83"/>
      <c r="H33" s="83"/>
      <c r="I33" s="83"/>
      <c r="J33" s="83"/>
      <c r="K33" s="83"/>
      <c r="L33" s="83"/>
      <c r="M33" s="83"/>
      <c r="N33" s="83"/>
      <c r="O33" s="83"/>
      <c r="P33" s="83"/>
      <c r="Q33" s="83"/>
      <c r="R33" s="83"/>
      <c r="S33" s="83"/>
      <c r="T33" s="83"/>
      <c r="U33" s="83"/>
      <c r="V33" s="83"/>
      <c r="W33" s="83"/>
      <c r="X33" s="83"/>
      <c r="Y33" s="83"/>
    </row>
    <row r="34" spans="1:25" ht="18" x14ac:dyDescent="0.25">
      <c r="A34" s="108"/>
      <c r="B34" s="102"/>
      <c r="C34" s="106"/>
      <c r="D34" s="106"/>
      <c r="E34" s="84"/>
      <c r="F34" s="83"/>
      <c r="G34" s="83"/>
      <c r="H34" s="83"/>
      <c r="I34" s="83"/>
      <c r="J34" s="83"/>
      <c r="K34" s="83"/>
      <c r="L34" s="83"/>
      <c r="M34" s="83"/>
      <c r="N34" s="83"/>
      <c r="O34" s="83"/>
      <c r="P34" s="83"/>
      <c r="Q34" s="83"/>
      <c r="R34" s="83"/>
      <c r="S34" s="83"/>
      <c r="T34" s="83"/>
      <c r="U34" s="83"/>
      <c r="V34" s="83"/>
      <c r="W34" s="83"/>
      <c r="X34" s="83"/>
      <c r="Y34" s="83"/>
    </row>
    <row r="35" spans="1:25" ht="15" x14ac:dyDescent="0.25">
      <c r="A35" s="83"/>
      <c r="B35" s="102"/>
      <c r="C35" s="106"/>
      <c r="D35" s="106"/>
      <c r="E35" s="107"/>
      <c r="F35" s="83"/>
      <c r="G35" s="83"/>
      <c r="H35" s="83"/>
      <c r="I35" s="83"/>
      <c r="J35" s="83"/>
      <c r="K35" s="83"/>
      <c r="L35" s="83"/>
      <c r="M35" s="83"/>
      <c r="N35" s="83"/>
      <c r="O35" s="83"/>
      <c r="P35" s="83"/>
      <c r="Q35" s="83"/>
      <c r="R35" s="83"/>
      <c r="S35" s="83"/>
      <c r="T35" s="83"/>
      <c r="U35" s="83"/>
      <c r="V35" s="83"/>
      <c r="W35" s="83"/>
      <c r="X35" s="83"/>
      <c r="Y35" s="83"/>
    </row>
    <row r="36" spans="1:25" ht="15" x14ac:dyDescent="0.25">
      <c r="A36" s="83"/>
      <c r="B36" s="102"/>
      <c r="C36" s="106"/>
      <c r="D36" s="106"/>
      <c r="E36" s="107"/>
      <c r="F36" s="83"/>
      <c r="G36" s="83"/>
      <c r="H36" s="83"/>
      <c r="I36" s="83"/>
      <c r="J36" s="83"/>
      <c r="K36" s="83"/>
      <c r="L36" s="83"/>
      <c r="M36" s="83"/>
      <c r="N36" s="83"/>
      <c r="O36" s="83"/>
      <c r="P36" s="83"/>
      <c r="Q36" s="83"/>
      <c r="R36" s="83"/>
      <c r="S36" s="83"/>
      <c r="T36" s="83"/>
      <c r="U36" s="83"/>
      <c r="V36" s="83"/>
      <c r="W36" s="83"/>
      <c r="X36" s="83"/>
      <c r="Y36" s="83"/>
    </row>
    <row r="37" spans="1:25" ht="15" x14ac:dyDescent="0.25">
      <c r="A37" s="83"/>
      <c r="B37" s="102"/>
      <c r="C37" s="106"/>
      <c r="D37" s="106"/>
      <c r="E37" s="107"/>
      <c r="F37" s="83"/>
      <c r="G37" s="83"/>
      <c r="H37" s="83"/>
      <c r="I37" s="83"/>
      <c r="J37" s="83"/>
      <c r="K37" s="83"/>
      <c r="L37" s="83"/>
      <c r="M37" s="83"/>
      <c r="N37" s="83"/>
      <c r="O37" s="83"/>
      <c r="P37" s="83"/>
      <c r="Q37" s="83"/>
      <c r="R37" s="83"/>
      <c r="S37" s="83"/>
      <c r="T37" s="83"/>
      <c r="U37" s="83"/>
      <c r="V37" s="83"/>
      <c r="W37" s="83"/>
      <c r="X37" s="83"/>
      <c r="Y37" s="83"/>
    </row>
    <row r="38" spans="1:25" ht="15" x14ac:dyDescent="0.25">
      <c r="A38" s="83"/>
      <c r="B38" s="103"/>
      <c r="C38" s="104"/>
      <c r="D38" s="106"/>
      <c r="E38" s="107"/>
      <c r="F38" s="83"/>
      <c r="G38" s="83"/>
      <c r="H38" s="83"/>
      <c r="I38" s="83"/>
      <c r="J38" s="83"/>
      <c r="K38" s="83"/>
      <c r="L38" s="83"/>
      <c r="M38" s="83"/>
      <c r="N38" s="83"/>
      <c r="O38" s="83"/>
      <c r="P38" s="83"/>
      <c r="Q38" s="83"/>
      <c r="R38" s="83"/>
      <c r="S38" s="83"/>
      <c r="T38" s="83"/>
      <c r="U38" s="83"/>
      <c r="V38" s="83"/>
      <c r="W38" s="83"/>
      <c r="X38" s="83"/>
      <c r="Y38" s="83"/>
    </row>
    <row r="39" spans="1:25" ht="15" x14ac:dyDescent="0.25">
      <c r="A39" s="83"/>
      <c r="B39" s="102"/>
      <c r="C39" s="105"/>
      <c r="D39" s="106"/>
      <c r="E39" s="107"/>
      <c r="F39" s="83"/>
      <c r="G39" s="83"/>
      <c r="H39" s="83"/>
      <c r="I39" s="83"/>
      <c r="J39" s="83"/>
      <c r="K39" s="83"/>
      <c r="L39" s="83"/>
      <c r="M39" s="83"/>
      <c r="N39" s="83"/>
      <c r="O39" s="83"/>
      <c r="P39" s="83"/>
      <c r="Q39" s="83"/>
      <c r="R39" s="83"/>
      <c r="S39" s="83"/>
      <c r="T39" s="83"/>
      <c r="U39" s="83"/>
      <c r="V39" s="83"/>
      <c r="W39" s="83"/>
      <c r="X39" s="83"/>
      <c r="Y39" s="83"/>
    </row>
    <row r="40" spans="1:25" ht="15" x14ac:dyDescent="0.25">
      <c r="A40" s="83"/>
      <c r="B40" s="103"/>
      <c r="C40" s="104"/>
      <c r="D40" s="106"/>
      <c r="E40" s="107"/>
      <c r="F40" s="83"/>
      <c r="G40" s="83"/>
      <c r="H40" s="83"/>
      <c r="I40" s="83"/>
      <c r="J40" s="83"/>
      <c r="K40" s="83"/>
      <c r="L40" s="83"/>
      <c r="M40" s="83"/>
      <c r="N40" s="83"/>
      <c r="O40" s="83"/>
      <c r="P40" s="83"/>
      <c r="Q40" s="83"/>
      <c r="R40" s="83"/>
      <c r="S40" s="83"/>
      <c r="T40" s="83"/>
      <c r="U40" s="83"/>
      <c r="V40" s="83"/>
      <c r="W40" s="83"/>
      <c r="X40" s="83"/>
      <c r="Y40" s="83"/>
    </row>
    <row r="41" spans="1:25" ht="15" x14ac:dyDescent="0.25">
      <c r="A41" s="83"/>
      <c r="B41" s="103"/>
      <c r="C41" s="84"/>
      <c r="D41" s="106"/>
      <c r="E41" s="107"/>
      <c r="F41" s="83"/>
      <c r="G41" s="83"/>
      <c r="H41" s="83"/>
      <c r="I41" s="83"/>
      <c r="J41" s="83"/>
      <c r="K41" s="83"/>
      <c r="L41" s="83"/>
      <c r="M41" s="83"/>
      <c r="N41" s="83"/>
      <c r="O41" s="83"/>
      <c r="P41" s="83"/>
      <c r="Q41" s="83"/>
      <c r="R41" s="83"/>
      <c r="S41" s="83"/>
      <c r="T41" s="83"/>
      <c r="U41" s="83"/>
      <c r="V41" s="83"/>
      <c r="W41" s="83"/>
      <c r="X41" s="83"/>
      <c r="Y41" s="83"/>
    </row>
    <row r="42" spans="1:25" ht="15" x14ac:dyDescent="0.25">
      <c r="A42" s="83"/>
      <c r="B42" s="102"/>
      <c r="C42" s="106"/>
      <c r="D42" s="106"/>
      <c r="E42" s="107"/>
      <c r="F42" s="83"/>
      <c r="G42" s="83"/>
      <c r="H42" s="83"/>
      <c r="I42" s="83"/>
      <c r="J42" s="83"/>
      <c r="K42" s="83"/>
      <c r="L42" s="83"/>
      <c r="M42" s="83"/>
      <c r="N42" s="83"/>
      <c r="O42" s="83"/>
      <c r="P42" s="83"/>
      <c r="Q42" s="83"/>
      <c r="R42" s="83"/>
      <c r="S42" s="83"/>
      <c r="T42" s="83"/>
      <c r="U42" s="83"/>
      <c r="V42" s="83"/>
      <c r="W42" s="83"/>
      <c r="X42" s="83"/>
      <c r="Y42" s="83"/>
    </row>
    <row r="43" spans="1:25" x14ac:dyDescent="0.2">
      <c r="A43" s="83"/>
      <c r="B43" s="107"/>
      <c r="C43" s="107"/>
      <c r="D43" s="107"/>
      <c r="E43" s="107"/>
      <c r="F43" s="83"/>
      <c r="G43" s="83"/>
      <c r="H43" s="83"/>
      <c r="I43" s="83"/>
      <c r="J43" s="83"/>
      <c r="K43" s="83"/>
      <c r="L43" s="83"/>
      <c r="M43" s="83"/>
      <c r="N43" s="83"/>
      <c r="O43" s="83"/>
      <c r="P43" s="83"/>
      <c r="Q43" s="83"/>
      <c r="R43" s="83"/>
      <c r="S43" s="83"/>
      <c r="T43" s="83"/>
      <c r="U43" s="83"/>
      <c r="V43" s="83"/>
      <c r="W43" s="83"/>
      <c r="X43" s="83"/>
      <c r="Y43" s="83"/>
    </row>
    <row r="44" spans="1:25" x14ac:dyDescent="0.2">
      <c r="A44" s="83"/>
      <c r="B44" s="107"/>
      <c r="C44" s="107"/>
      <c r="D44" s="107"/>
      <c r="E44" s="107"/>
      <c r="F44" s="83"/>
      <c r="G44" s="83"/>
      <c r="H44" s="83"/>
      <c r="I44" s="83"/>
      <c r="J44" s="83"/>
      <c r="K44" s="83"/>
      <c r="L44" s="83"/>
      <c r="M44" s="83"/>
      <c r="N44" s="83"/>
      <c r="O44" s="83"/>
      <c r="P44" s="83"/>
      <c r="Q44" s="83"/>
      <c r="R44" s="83"/>
      <c r="S44" s="83"/>
      <c r="T44" s="83"/>
      <c r="U44" s="83"/>
      <c r="V44" s="83"/>
      <c r="W44" s="83"/>
      <c r="X44" s="83"/>
      <c r="Y44" s="83"/>
    </row>
    <row r="45" spans="1:25" x14ac:dyDescent="0.2">
      <c r="A45" s="83"/>
      <c r="B45" s="83"/>
      <c r="C45" s="83"/>
      <c r="D45" s="83"/>
      <c r="E45" s="83"/>
      <c r="F45" s="83"/>
      <c r="G45" s="83"/>
      <c r="H45" s="83"/>
      <c r="I45" s="83"/>
      <c r="J45" s="83"/>
      <c r="K45" s="83"/>
      <c r="L45" s="83"/>
      <c r="M45" s="83"/>
      <c r="N45" s="83"/>
      <c r="O45" s="83"/>
      <c r="P45" s="83"/>
      <c r="Q45" s="83"/>
      <c r="R45" s="83"/>
      <c r="S45" s="83"/>
      <c r="T45" s="83"/>
      <c r="U45" s="83"/>
      <c r="V45" s="83"/>
      <c r="W45" s="83"/>
      <c r="X45" s="83"/>
      <c r="Y45" s="83"/>
    </row>
    <row r="46" spans="1:25" x14ac:dyDescent="0.2">
      <c r="A46" s="83"/>
      <c r="B46" s="83"/>
      <c r="C46" s="83"/>
      <c r="D46" s="83"/>
      <c r="E46" s="83"/>
      <c r="F46" s="83"/>
      <c r="G46" s="83"/>
      <c r="H46" s="83"/>
      <c r="I46" s="83"/>
      <c r="J46" s="83"/>
      <c r="K46" s="83"/>
      <c r="L46" s="83"/>
      <c r="M46" s="83"/>
      <c r="N46" s="83"/>
      <c r="O46" s="83"/>
      <c r="P46" s="83"/>
      <c r="Q46" s="83"/>
      <c r="R46" s="83"/>
      <c r="S46" s="83"/>
      <c r="T46" s="83"/>
      <c r="U46" s="83"/>
      <c r="V46" s="83"/>
      <c r="W46" s="83"/>
      <c r="X46" s="83"/>
      <c r="Y46" s="83"/>
    </row>
    <row r="47" spans="1:25" x14ac:dyDescent="0.2">
      <c r="A47" s="83"/>
      <c r="B47" s="83"/>
      <c r="C47" s="83"/>
      <c r="D47" s="83"/>
      <c r="E47" s="83"/>
      <c r="F47" s="83"/>
      <c r="G47" s="83"/>
      <c r="H47" s="83"/>
      <c r="I47" s="83"/>
      <c r="J47" s="83"/>
      <c r="K47" s="83"/>
      <c r="L47" s="83"/>
      <c r="M47" s="83"/>
      <c r="N47" s="83"/>
      <c r="O47" s="83"/>
      <c r="P47" s="83"/>
      <c r="Q47" s="83"/>
      <c r="R47" s="83"/>
      <c r="S47" s="83"/>
      <c r="T47" s="83"/>
      <c r="U47" s="83"/>
      <c r="V47" s="83"/>
      <c r="W47" s="83"/>
      <c r="X47" s="83"/>
      <c r="Y47" s="83"/>
    </row>
    <row r="48" spans="1:25" x14ac:dyDescent="0.2">
      <c r="A48" s="83"/>
      <c r="B48" s="83"/>
      <c r="C48" s="83"/>
      <c r="D48" s="83"/>
      <c r="E48" s="83"/>
      <c r="F48" s="83"/>
      <c r="G48" s="83"/>
      <c r="H48" s="83"/>
      <c r="I48" s="83"/>
      <c r="J48" s="83"/>
      <c r="K48" s="83"/>
      <c r="L48" s="83"/>
      <c r="M48" s="83"/>
      <c r="N48" s="83"/>
      <c r="O48" s="83"/>
      <c r="P48" s="83"/>
      <c r="Q48" s="83"/>
      <c r="R48" s="83"/>
      <c r="S48" s="83"/>
      <c r="T48" s="83"/>
      <c r="U48" s="83"/>
      <c r="V48" s="83"/>
      <c r="W48" s="83"/>
      <c r="X48" s="83"/>
      <c r="Y48" s="83"/>
    </row>
    <row r="49" spans="1:25" x14ac:dyDescent="0.2">
      <c r="A49" s="83"/>
      <c r="B49" s="83"/>
      <c r="C49" s="83"/>
      <c r="D49" s="83"/>
      <c r="E49" s="83"/>
      <c r="F49" s="83"/>
      <c r="G49" s="83"/>
      <c r="H49" s="83"/>
      <c r="I49" s="83"/>
      <c r="J49" s="83"/>
      <c r="K49" s="83"/>
      <c r="L49" s="83"/>
      <c r="M49" s="83"/>
      <c r="N49" s="83"/>
      <c r="O49" s="83"/>
      <c r="P49" s="83"/>
      <c r="Q49" s="83"/>
      <c r="R49" s="83"/>
      <c r="S49" s="83"/>
      <c r="T49" s="83"/>
      <c r="U49" s="83"/>
      <c r="V49" s="83"/>
      <c r="W49" s="83"/>
      <c r="X49" s="83"/>
      <c r="Y49" s="83"/>
    </row>
    <row r="50" spans="1:25" x14ac:dyDescent="0.2">
      <c r="A50" s="83"/>
      <c r="B50" s="83"/>
      <c r="C50" s="83"/>
      <c r="D50" s="83"/>
      <c r="E50" s="83"/>
      <c r="F50" s="83"/>
      <c r="G50" s="83"/>
      <c r="H50" s="83"/>
      <c r="I50" s="83"/>
      <c r="J50" s="83"/>
      <c r="K50" s="83"/>
      <c r="L50" s="83"/>
      <c r="M50" s="83"/>
      <c r="N50" s="83"/>
      <c r="O50" s="83"/>
      <c r="P50" s="83"/>
      <c r="Q50" s="83"/>
      <c r="R50" s="83"/>
      <c r="S50" s="83"/>
      <c r="T50" s="83"/>
      <c r="U50" s="83"/>
      <c r="V50" s="83"/>
      <c r="W50" s="83"/>
      <c r="X50" s="83"/>
      <c r="Y50" s="83"/>
    </row>
    <row r="51" spans="1:25" x14ac:dyDescent="0.2">
      <c r="A51" s="83"/>
      <c r="B51" s="83"/>
      <c r="C51" s="83"/>
      <c r="D51" s="83"/>
      <c r="E51" s="83"/>
      <c r="F51" s="83"/>
      <c r="G51" s="83"/>
      <c r="H51" s="83"/>
      <c r="I51" s="83"/>
      <c r="J51" s="83"/>
      <c r="K51" s="83"/>
      <c r="L51" s="83"/>
      <c r="M51" s="83"/>
      <c r="N51" s="83"/>
      <c r="O51" s="83"/>
      <c r="P51" s="83"/>
      <c r="Q51" s="83"/>
      <c r="R51" s="83"/>
      <c r="S51" s="83"/>
      <c r="T51" s="83"/>
      <c r="U51" s="83"/>
      <c r="V51" s="83"/>
      <c r="W51" s="83"/>
      <c r="X51" s="83"/>
      <c r="Y51" s="83"/>
    </row>
  </sheetData>
  <sheetProtection sheet="1" objects="1" scenarios="1"/>
  <phoneticPr fontId="18"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213"/>
  <sheetViews>
    <sheetView topLeftCell="K1" workbookViewId="0">
      <selection activeCell="K1" sqref="K1"/>
    </sheetView>
  </sheetViews>
  <sheetFormatPr defaultColWidth="8.7109375" defaultRowHeight="12.75" x14ac:dyDescent="0.2"/>
  <cols>
    <col min="1" max="1" width="19.7109375" customWidth="1"/>
    <col min="2" max="5" width="10.7109375" customWidth="1"/>
    <col min="6" max="6" width="12.42578125" customWidth="1"/>
    <col min="7" max="7" width="10.7109375" customWidth="1"/>
    <col min="8" max="8" width="9.7109375" customWidth="1"/>
    <col min="9" max="9" width="9.140625" customWidth="1"/>
    <col min="10" max="10" width="23.140625" customWidth="1"/>
    <col min="18" max="20" width="10.7109375" customWidth="1"/>
  </cols>
  <sheetData>
    <row r="1" spans="1:20" x14ac:dyDescent="0.2">
      <c r="A1" s="65" t="s">
        <v>131</v>
      </c>
      <c r="B1" s="7"/>
      <c r="C1" s="7"/>
      <c r="D1" s="7"/>
      <c r="E1" s="7"/>
      <c r="F1" s="7"/>
      <c r="G1" s="7"/>
      <c r="H1" s="7"/>
      <c r="I1" s="7"/>
      <c r="J1" s="7"/>
      <c r="K1" s="69" t="s">
        <v>136</v>
      </c>
      <c r="L1" s="7"/>
      <c r="M1" s="7"/>
      <c r="N1" s="7"/>
      <c r="O1" s="7"/>
      <c r="P1" s="1"/>
      <c r="Q1" s="1"/>
      <c r="R1" s="2"/>
      <c r="S1" s="2"/>
      <c r="T1" s="2"/>
    </row>
    <row r="2" spans="1:20" x14ac:dyDescent="0.2">
      <c r="A2" s="7"/>
      <c r="B2" s="7"/>
      <c r="C2" s="7"/>
      <c r="D2" s="7"/>
      <c r="E2" s="44" t="s">
        <v>116</v>
      </c>
      <c r="F2" s="44" t="s">
        <v>116</v>
      </c>
      <c r="G2" s="44" t="s">
        <v>151</v>
      </c>
      <c r="H2" s="7"/>
      <c r="I2" s="7"/>
      <c r="J2" s="7"/>
      <c r="K2" s="69" t="s">
        <v>80</v>
      </c>
      <c r="L2" s="7"/>
      <c r="M2" s="7"/>
      <c r="N2" s="7"/>
      <c r="O2" s="7"/>
      <c r="P2" s="1"/>
      <c r="Q2" s="1"/>
      <c r="R2" s="2"/>
      <c r="S2" s="2"/>
      <c r="T2" s="2"/>
    </row>
    <row r="3" spans="1:20" x14ac:dyDescent="0.2">
      <c r="A3" s="44" t="s">
        <v>204</v>
      </c>
      <c r="B3" s="44" t="s">
        <v>54</v>
      </c>
      <c r="C3" s="44" t="s">
        <v>55</v>
      </c>
      <c r="D3" s="44" t="s">
        <v>56</v>
      </c>
      <c r="E3" s="44" t="s">
        <v>117</v>
      </c>
      <c r="F3" s="44" t="s">
        <v>150</v>
      </c>
      <c r="G3" s="44" t="s">
        <v>9</v>
      </c>
      <c r="H3" s="44" t="s">
        <v>57</v>
      </c>
      <c r="I3" s="7"/>
      <c r="J3" s="7"/>
      <c r="K3" s="69" t="s">
        <v>83</v>
      </c>
      <c r="L3" s="7"/>
      <c r="M3" s="7"/>
      <c r="N3" s="7"/>
      <c r="O3" s="7"/>
      <c r="P3" s="1"/>
      <c r="Q3" s="1"/>
      <c r="R3" s="2"/>
      <c r="S3" s="2"/>
      <c r="T3" s="2"/>
    </row>
    <row r="4" spans="1:20" x14ac:dyDescent="0.2">
      <c r="A4" s="7" t="s">
        <v>125</v>
      </c>
      <c r="B4" s="58" t="e">
        <f>IF(#REF!&lt;3,A11,0)+H11</f>
        <v>#REF!</v>
      </c>
      <c r="C4" s="7">
        <v>40</v>
      </c>
      <c r="D4" s="59">
        <v>0</v>
      </c>
      <c r="E4" s="59" t="e">
        <f>Sheet1!$I$8</f>
        <v>#REF!</v>
      </c>
      <c r="F4" s="60" t="e">
        <f>(E4*(1+E4)^C4)/((1+E4)^C4-1)</f>
        <v>#REF!</v>
      </c>
      <c r="G4" s="7">
        <f>160*12</f>
        <v>1920</v>
      </c>
      <c r="H4" s="61" t="e">
        <f>((B4*F4)/G4)*#REF!</f>
        <v>#REF!</v>
      </c>
      <c r="I4" s="7"/>
      <c r="J4" s="7"/>
      <c r="K4" s="69" t="s">
        <v>13</v>
      </c>
      <c r="L4" s="7"/>
      <c r="M4" s="7"/>
      <c r="N4" s="7"/>
      <c r="O4" s="7"/>
      <c r="P4" s="1"/>
      <c r="Q4" s="1"/>
      <c r="R4" s="2"/>
      <c r="S4" s="2"/>
      <c r="T4" s="2"/>
    </row>
    <row r="5" spans="1:20" x14ac:dyDescent="0.2">
      <c r="A5" s="7" t="s">
        <v>124</v>
      </c>
      <c r="B5" s="58" t="e">
        <f>IF(#REF!&lt;3,B11,0)</f>
        <v>#REF!</v>
      </c>
      <c r="C5" s="7">
        <v>15</v>
      </c>
      <c r="D5" s="59">
        <v>0</v>
      </c>
      <c r="E5" s="59" t="e">
        <f>Sheet1!$I$8</f>
        <v>#REF!</v>
      </c>
      <c r="F5" s="60" t="e">
        <f>(E5*(1+E5)^C5)/((1+E5)^C5-1)</f>
        <v>#REF!</v>
      </c>
      <c r="G5" s="7">
        <f>160*12</f>
        <v>1920</v>
      </c>
      <c r="H5" s="61" t="e">
        <f>((B5*F5)/G5)*#REF!</f>
        <v>#REF!</v>
      </c>
      <c r="I5" s="7"/>
      <c r="J5" s="7"/>
      <c r="K5" s="70">
        <v>1</v>
      </c>
      <c r="L5" s="7"/>
      <c r="M5" s="7"/>
      <c r="N5" s="7"/>
      <c r="O5" s="7"/>
      <c r="P5" s="1"/>
      <c r="Q5" s="1"/>
      <c r="R5" s="2"/>
      <c r="S5" s="2"/>
      <c r="T5" s="2"/>
    </row>
    <row r="6" spans="1:20" x14ac:dyDescent="0.2">
      <c r="A6" s="7" t="s">
        <v>78</v>
      </c>
      <c r="B6" s="58" t="e">
        <f>IF(AND(#REF!=1,#REF!&lt;2),C11,0)</f>
        <v>#REF!</v>
      </c>
      <c r="C6" s="7">
        <v>15</v>
      </c>
      <c r="D6" s="59">
        <v>0</v>
      </c>
      <c r="E6" s="59" t="e">
        <f>Sheet1!$I$8</f>
        <v>#REF!</v>
      </c>
      <c r="F6" s="60" t="e">
        <f>(E6*(1+E6)^C6)/((1+E6)^C6-1)</f>
        <v>#REF!</v>
      </c>
      <c r="G6" s="7">
        <f>160*12</f>
        <v>1920</v>
      </c>
      <c r="H6" s="61" t="e">
        <f>((B6*F6)/G6)*#REF!</f>
        <v>#REF!</v>
      </c>
      <c r="I6" s="7"/>
      <c r="J6" s="7"/>
      <c r="K6" s="7"/>
      <c r="L6" s="7"/>
      <c r="M6" s="7"/>
      <c r="N6" s="7"/>
      <c r="O6" s="7"/>
      <c r="P6" s="1"/>
      <c r="Q6" s="1"/>
      <c r="R6" s="2"/>
      <c r="S6" s="2"/>
      <c r="T6" s="2"/>
    </row>
    <row r="7" spans="1:20" ht="15" x14ac:dyDescent="0.25">
      <c r="A7" s="7" t="s">
        <v>77</v>
      </c>
      <c r="B7" s="58" t="e">
        <f>IF(AND(#REF!=2,#REF!&lt;2),(D11+F11),0)</f>
        <v>#REF!</v>
      </c>
      <c r="C7" s="7">
        <v>15</v>
      </c>
      <c r="D7" s="59">
        <v>0</v>
      </c>
      <c r="E7" s="59" t="e">
        <f>Sheet1!$I$8</f>
        <v>#REF!</v>
      </c>
      <c r="F7" s="60" t="e">
        <f>(E7*(1+E7)^C7)/((1+E7)^C7-1)</f>
        <v>#REF!</v>
      </c>
      <c r="G7" s="7">
        <f>160*12</f>
        <v>1920</v>
      </c>
      <c r="H7" s="61" t="e">
        <f>((B7*F7)/G7)*#REF!</f>
        <v>#REF!</v>
      </c>
      <c r="I7" s="7"/>
      <c r="J7" s="9" t="s">
        <v>125</v>
      </c>
      <c r="K7" s="71" t="e">
        <f>#REF!*Sheet2!$K$5</f>
        <v>#REF!</v>
      </c>
      <c r="L7" s="9"/>
      <c r="M7" s="9"/>
      <c r="N7" s="7"/>
      <c r="O7" s="7"/>
      <c r="P7" s="1"/>
      <c r="Q7" s="1"/>
      <c r="R7" s="2"/>
      <c r="S7" s="2"/>
      <c r="T7" s="2"/>
    </row>
    <row r="8" spans="1:20" ht="15" x14ac:dyDescent="0.25">
      <c r="A8" s="7" t="s">
        <v>79</v>
      </c>
      <c r="B8" s="58" t="e">
        <f>IF(#REF!=2,D13,0)</f>
        <v>#REF!</v>
      </c>
      <c r="C8" s="7">
        <v>20</v>
      </c>
      <c r="D8" s="59">
        <v>0</v>
      </c>
      <c r="E8" s="59" t="e">
        <f>Sheet1!$I$8</f>
        <v>#REF!</v>
      </c>
      <c r="F8" s="60" t="e">
        <f>(E8*(1+E8)^C8)/((1+E8)^C8-1)</f>
        <v>#REF!</v>
      </c>
      <c r="G8" s="7">
        <f>160*12</f>
        <v>1920</v>
      </c>
      <c r="H8" s="61" t="e">
        <f>((B8*F8)/G8)*#REF!</f>
        <v>#REF!</v>
      </c>
      <c r="I8" s="7"/>
      <c r="J8" s="9" t="s">
        <v>128</v>
      </c>
      <c r="K8" s="71" t="e">
        <f>#REF!*Sheet2!$K$5</f>
        <v>#REF!</v>
      </c>
      <c r="L8" s="9"/>
      <c r="M8" s="9"/>
      <c r="N8" s="7"/>
      <c r="O8" s="7"/>
      <c r="P8" s="1"/>
      <c r="Q8" s="1"/>
      <c r="R8" s="2"/>
      <c r="S8" s="2"/>
      <c r="T8" s="2"/>
    </row>
    <row r="9" spans="1:20" ht="15" x14ac:dyDescent="0.25">
      <c r="A9" s="65" t="s">
        <v>137</v>
      </c>
      <c r="B9" s="7"/>
      <c r="C9" s="7"/>
      <c r="D9" s="7"/>
      <c r="E9" s="7"/>
      <c r="F9" s="7"/>
      <c r="G9" s="7"/>
      <c r="H9" s="72" t="e">
        <f>SUM(H4:H8)</f>
        <v>#REF!</v>
      </c>
      <c r="I9" s="7"/>
      <c r="J9" s="9" t="s">
        <v>140</v>
      </c>
      <c r="K9" s="71" t="e">
        <f>#REF!*Sheet2!$K$5</f>
        <v>#REF!</v>
      </c>
      <c r="L9" s="9"/>
      <c r="M9" s="9"/>
      <c r="N9" s="7"/>
      <c r="O9" s="7"/>
      <c r="P9" s="1"/>
      <c r="Q9" s="1"/>
      <c r="R9" s="2"/>
      <c r="S9" s="2"/>
      <c r="T9" s="2"/>
    </row>
    <row r="10" spans="1:20" ht="15" x14ac:dyDescent="0.25">
      <c r="A10" s="62" t="s">
        <v>125</v>
      </c>
      <c r="B10" s="62" t="s">
        <v>124</v>
      </c>
      <c r="C10" s="44" t="s">
        <v>81</v>
      </c>
      <c r="D10" s="44" t="s">
        <v>109</v>
      </c>
      <c r="E10" s="44"/>
      <c r="F10" s="44" t="s">
        <v>3</v>
      </c>
      <c r="G10" s="7"/>
      <c r="H10" s="7" t="s">
        <v>0</v>
      </c>
      <c r="I10" s="7"/>
      <c r="J10" s="9" t="s">
        <v>126</v>
      </c>
      <c r="K10" s="71" t="e">
        <f>#REF!*Sheet2!$K$5</f>
        <v>#REF!</v>
      </c>
      <c r="L10" s="9"/>
      <c r="M10" s="9"/>
      <c r="N10" s="7"/>
      <c r="O10" s="7"/>
      <c r="P10" s="1"/>
      <c r="Q10" s="1"/>
      <c r="R10" s="2"/>
      <c r="S10" s="2"/>
      <c r="T10" s="2"/>
    </row>
    <row r="11" spans="1:20" ht="15" x14ac:dyDescent="0.25">
      <c r="A11" s="62" t="e">
        <f>IF(#REF!=1,#REF!,0)</f>
        <v>#REF!</v>
      </c>
      <c r="B11" s="62" t="e">
        <f>IF(#REF!=1,#REF!,#REF!)</f>
        <v>#REF!</v>
      </c>
      <c r="C11" s="62" t="e">
        <f>IF(#REF!=1,#REF!,0)</f>
        <v>#REF!</v>
      </c>
      <c r="D11" s="62" t="e">
        <f>IF(#REF!=2,#REF!,0)</f>
        <v>#REF!</v>
      </c>
      <c r="E11" s="7"/>
      <c r="F11" s="62" t="e">
        <f>IF(AND(#REF!=2,#REF!=1),#REF!,0)</f>
        <v>#REF!</v>
      </c>
      <c r="G11" s="7"/>
      <c r="H11" s="62" t="e">
        <f>IF(AND(#REF!=2,#REF!=2,#REF!=1),#REF!,0)</f>
        <v>#REF!</v>
      </c>
      <c r="I11" s="7"/>
      <c r="J11" s="9" t="s">
        <v>127</v>
      </c>
      <c r="K11" s="71" t="e">
        <f>#REF!*Sheet2!$K$5</f>
        <v>#REF!</v>
      </c>
      <c r="L11" s="9"/>
      <c r="M11" s="9"/>
      <c r="N11" s="7"/>
      <c r="O11" s="7"/>
      <c r="P11" s="1"/>
      <c r="Q11" s="1"/>
      <c r="R11" s="2"/>
      <c r="S11" s="2"/>
      <c r="T11" s="2"/>
    </row>
    <row r="12" spans="1:20" ht="15" x14ac:dyDescent="0.25">
      <c r="A12" s="44" t="s">
        <v>58</v>
      </c>
      <c r="B12" s="7"/>
      <c r="C12" s="63" t="s">
        <v>59</v>
      </c>
      <c r="D12" s="44" t="s">
        <v>60</v>
      </c>
      <c r="E12" s="7"/>
      <c r="F12" s="7"/>
      <c r="G12" s="7"/>
      <c r="H12" s="7"/>
      <c r="I12" s="7"/>
      <c r="J12" s="9" t="s">
        <v>141</v>
      </c>
      <c r="K12" s="71" t="e">
        <f>#REF!*Sheet2!$K$5</f>
        <v>#REF!</v>
      </c>
      <c r="L12" s="9"/>
      <c r="M12" s="9"/>
      <c r="N12" s="7"/>
      <c r="O12" s="7"/>
      <c r="P12" s="1"/>
      <c r="Q12" s="1"/>
      <c r="R12" s="2"/>
      <c r="S12" s="2"/>
      <c r="T12" s="2"/>
    </row>
    <row r="13" spans="1:20" ht="15" x14ac:dyDescent="0.25">
      <c r="A13" s="62" t="e">
        <f>#REF!</f>
        <v>#REF!</v>
      </c>
      <c r="B13" s="7"/>
      <c r="C13" s="73" t="e">
        <f>#REF!</f>
        <v>#REF!</v>
      </c>
      <c r="D13" s="62" t="e">
        <f>A13*C13*K5</f>
        <v>#REF!</v>
      </c>
      <c r="E13" s="7" t="s">
        <v>62</v>
      </c>
      <c r="F13" s="7"/>
      <c r="G13" s="7"/>
      <c r="H13" s="7"/>
      <c r="I13" s="7"/>
      <c r="J13" s="9" t="s">
        <v>142</v>
      </c>
      <c r="K13" s="74" t="e">
        <f>#REF!*Sheet2!$K$5</f>
        <v>#REF!</v>
      </c>
      <c r="L13" s="9"/>
      <c r="M13" s="9"/>
      <c r="N13" s="7"/>
      <c r="O13" s="7"/>
      <c r="P13" s="1"/>
      <c r="Q13" s="1"/>
      <c r="R13" s="2"/>
      <c r="S13" s="2"/>
      <c r="T13" s="2"/>
    </row>
    <row r="14" spans="1:20" ht="18" x14ac:dyDescent="0.25">
      <c r="A14" s="7" t="s">
        <v>64</v>
      </c>
      <c r="B14" s="7"/>
      <c r="C14" s="7"/>
      <c r="D14" s="7"/>
      <c r="E14" s="7"/>
      <c r="F14" s="7"/>
      <c r="G14" s="7"/>
      <c r="H14" s="7"/>
      <c r="I14" s="7"/>
      <c r="J14" s="9" t="s">
        <v>25</v>
      </c>
      <c r="K14" s="71" t="e">
        <f>#REF!*Sheet2!$K$5</f>
        <v>#REF!</v>
      </c>
      <c r="L14" s="9"/>
      <c r="M14" s="9"/>
      <c r="N14" s="7"/>
      <c r="O14" s="7"/>
      <c r="P14" s="1"/>
      <c r="Q14" s="1"/>
      <c r="R14" s="2"/>
      <c r="S14" s="2"/>
      <c r="T14" s="2"/>
    </row>
    <row r="15" spans="1:20" ht="18" x14ac:dyDescent="0.25">
      <c r="A15" s="7" t="s">
        <v>68</v>
      </c>
      <c r="B15" s="7"/>
      <c r="C15" s="7"/>
      <c r="D15" s="7"/>
      <c r="E15" s="7"/>
      <c r="F15" s="7"/>
      <c r="G15" s="7"/>
      <c r="H15" s="7"/>
      <c r="I15" s="7"/>
      <c r="J15" s="9" t="s">
        <v>26</v>
      </c>
      <c r="K15" s="9"/>
      <c r="L15" s="9"/>
      <c r="M15" s="9"/>
      <c r="N15" s="7"/>
      <c r="O15" s="7"/>
      <c r="P15" s="1"/>
      <c r="Q15" s="1"/>
      <c r="R15" s="2"/>
      <c r="S15" s="2"/>
      <c r="T15" s="2"/>
    </row>
    <row r="16" spans="1:20" x14ac:dyDescent="0.2">
      <c r="A16" s="7" t="s">
        <v>230</v>
      </c>
      <c r="B16" s="7"/>
      <c r="C16" s="7"/>
      <c r="D16" s="7"/>
      <c r="E16" s="7"/>
      <c r="F16" s="7"/>
      <c r="G16" s="7"/>
      <c r="H16" s="7"/>
      <c r="I16" s="7"/>
      <c r="J16" s="7"/>
      <c r="K16" s="7"/>
      <c r="L16" s="7"/>
      <c r="M16" s="7"/>
      <c r="N16" s="7"/>
      <c r="O16" s="7"/>
      <c r="P16" s="1"/>
      <c r="Q16" s="1"/>
      <c r="R16" s="2"/>
      <c r="S16" s="2"/>
      <c r="T16" s="2"/>
    </row>
    <row r="17" spans="1:20" x14ac:dyDescent="0.2">
      <c r="A17" s="7" t="s">
        <v>63</v>
      </c>
      <c r="B17" s="7"/>
      <c r="C17" s="7"/>
      <c r="D17" s="7"/>
      <c r="E17" s="7"/>
      <c r="F17" s="7"/>
      <c r="G17" s="7"/>
      <c r="H17" s="7"/>
      <c r="I17" s="7"/>
      <c r="J17" s="7"/>
      <c r="K17" s="7"/>
      <c r="L17" s="7"/>
      <c r="M17" s="7"/>
      <c r="N17" s="7"/>
      <c r="O17" s="7"/>
      <c r="P17" s="1"/>
      <c r="Q17" s="1"/>
      <c r="R17" s="2"/>
      <c r="S17" s="2"/>
      <c r="T17" s="2"/>
    </row>
    <row r="18" spans="1:20" x14ac:dyDescent="0.2">
      <c r="A18" s="7" t="s">
        <v>61</v>
      </c>
      <c r="B18" s="7"/>
      <c r="C18" s="7"/>
      <c r="D18" s="7"/>
      <c r="E18" s="7"/>
      <c r="F18" s="7"/>
      <c r="G18" s="7"/>
      <c r="H18" s="7"/>
      <c r="I18" s="7"/>
      <c r="J18" s="7"/>
      <c r="K18" s="7"/>
      <c r="L18" s="7"/>
      <c r="M18" s="7"/>
      <c r="N18" s="7"/>
      <c r="O18" s="7"/>
      <c r="P18" s="1"/>
      <c r="Q18" s="1"/>
      <c r="R18" s="2"/>
      <c r="S18" s="2"/>
      <c r="T18" s="2"/>
    </row>
    <row r="19" spans="1:20" x14ac:dyDescent="0.2">
      <c r="A19" s="75" t="s">
        <v>82</v>
      </c>
      <c r="B19" s="75"/>
      <c r="C19" s="7"/>
      <c r="D19" s="7"/>
      <c r="E19" s="7"/>
      <c r="F19" s="7"/>
      <c r="G19" s="7"/>
      <c r="H19" s="7"/>
      <c r="I19" s="7"/>
      <c r="J19" s="7"/>
      <c r="K19" s="7"/>
      <c r="L19" s="7"/>
      <c r="M19" s="7"/>
      <c r="N19" s="7"/>
      <c r="O19" s="7"/>
      <c r="P19" s="1"/>
      <c r="Q19" s="1"/>
      <c r="R19" s="2"/>
      <c r="S19" s="2"/>
      <c r="T19" s="2"/>
    </row>
    <row r="20" spans="1:20" x14ac:dyDescent="0.2">
      <c r="A20" s="7"/>
      <c r="B20" s="7"/>
      <c r="C20" s="7"/>
      <c r="D20" s="7"/>
      <c r="E20" s="7"/>
      <c r="F20" s="7"/>
      <c r="G20" s="7"/>
      <c r="H20" s="7"/>
      <c r="I20" s="7"/>
      <c r="J20" s="7"/>
      <c r="K20" s="7"/>
      <c r="L20" s="7"/>
      <c r="M20" s="7"/>
      <c r="N20" s="7"/>
      <c r="O20" s="7"/>
      <c r="P20" s="1"/>
      <c r="Q20" s="1"/>
      <c r="R20" s="2"/>
      <c r="S20" s="2"/>
      <c r="T20" s="2"/>
    </row>
    <row r="21" spans="1:20" x14ac:dyDescent="0.2">
      <c r="A21" s="7"/>
      <c r="B21" s="65" t="s">
        <v>205</v>
      </c>
      <c r="C21" s="65" t="s">
        <v>206</v>
      </c>
      <c r="D21" s="65" t="s">
        <v>207</v>
      </c>
      <c r="E21" s="65" t="s">
        <v>208</v>
      </c>
      <c r="F21" s="65" t="s">
        <v>209</v>
      </c>
      <c r="G21" s="65" t="s">
        <v>210</v>
      </c>
      <c r="H21" s="7"/>
      <c r="I21" s="7"/>
      <c r="J21" s="7"/>
      <c r="K21" s="7"/>
      <c r="L21" s="7"/>
      <c r="M21" s="7"/>
      <c r="N21" s="7"/>
      <c r="O21" s="7"/>
      <c r="P21" s="1"/>
      <c r="Q21" s="1"/>
      <c r="R21" s="2"/>
      <c r="S21" s="2"/>
      <c r="T21" s="2"/>
    </row>
    <row r="22" spans="1:20" x14ac:dyDescent="0.2">
      <c r="A22" s="7" t="s">
        <v>211</v>
      </c>
      <c r="B22" s="76" t="e">
        <f t="shared" ref="B22:G22" si="0">$D$45</f>
        <v>#REF!</v>
      </c>
      <c r="C22" s="76" t="e">
        <f t="shared" si="0"/>
        <v>#REF!</v>
      </c>
      <c r="D22" s="76" t="e">
        <f t="shared" si="0"/>
        <v>#REF!</v>
      </c>
      <c r="E22" s="76" t="e">
        <f t="shared" si="0"/>
        <v>#REF!</v>
      </c>
      <c r="F22" s="76" t="e">
        <f t="shared" si="0"/>
        <v>#REF!</v>
      </c>
      <c r="G22" s="76" t="e">
        <f t="shared" si="0"/>
        <v>#REF!</v>
      </c>
      <c r="H22" s="7" t="s">
        <v>212</v>
      </c>
      <c r="I22" s="7"/>
      <c r="J22" s="7"/>
      <c r="K22" s="7"/>
      <c r="L22" s="7"/>
      <c r="M22" s="7"/>
      <c r="N22" s="7"/>
      <c r="O22" s="7"/>
      <c r="P22" s="1"/>
      <c r="Q22" s="1"/>
      <c r="R22" s="2"/>
      <c r="S22" s="2"/>
      <c r="T22" s="2"/>
    </row>
    <row r="23" spans="1:20" x14ac:dyDescent="0.2">
      <c r="A23" s="7" t="s">
        <v>213</v>
      </c>
      <c r="B23" s="77" t="e">
        <f>#REF!</f>
        <v>#REF!</v>
      </c>
      <c r="C23" s="77" t="e">
        <f>#REF!</f>
        <v>#REF!</v>
      </c>
      <c r="D23" s="77" t="e">
        <f>#REF!</f>
        <v>#REF!</v>
      </c>
      <c r="E23" s="77" t="e">
        <f>#REF!</f>
        <v>#REF!</v>
      </c>
      <c r="F23" s="77" t="e">
        <f>#REF!</f>
        <v>#REF!</v>
      </c>
      <c r="G23" s="77" t="e">
        <f>#REF!</f>
        <v>#REF!</v>
      </c>
      <c r="H23" s="7" t="s">
        <v>214</v>
      </c>
      <c r="I23" s="7"/>
      <c r="J23" s="7"/>
      <c r="K23" s="7"/>
      <c r="L23" s="7"/>
      <c r="M23" s="7"/>
      <c r="N23" s="7"/>
      <c r="O23" s="7"/>
      <c r="P23" s="1"/>
      <c r="Q23" s="1"/>
      <c r="R23" s="2"/>
      <c r="S23" s="2"/>
      <c r="T23" s="2"/>
    </row>
    <row r="24" spans="1:20" x14ac:dyDescent="0.2">
      <c r="A24" s="7" t="s">
        <v>215</v>
      </c>
      <c r="B24" s="7">
        <v>18</v>
      </c>
      <c r="C24" s="7">
        <v>1.1499999999999999</v>
      </c>
      <c r="D24" s="7">
        <v>1.05</v>
      </c>
      <c r="E24" s="7">
        <v>10</v>
      </c>
      <c r="F24" s="7">
        <v>11</v>
      </c>
      <c r="G24" s="7">
        <v>12</v>
      </c>
      <c r="H24" s="7" t="s">
        <v>216</v>
      </c>
      <c r="I24" s="7"/>
      <c r="J24" s="7"/>
      <c r="K24" s="7"/>
      <c r="L24" s="7"/>
      <c r="M24" s="7"/>
      <c r="N24" s="7"/>
      <c r="O24" s="7"/>
      <c r="P24" s="1"/>
      <c r="Q24" s="1"/>
      <c r="R24" s="2"/>
      <c r="S24" s="2"/>
      <c r="T24" s="2"/>
    </row>
    <row r="25" spans="1:20" x14ac:dyDescent="0.2">
      <c r="A25" s="7" t="s">
        <v>217</v>
      </c>
      <c r="B25" s="64">
        <v>0.7</v>
      </c>
      <c r="C25" s="64">
        <v>0.7</v>
      </c>
      <c r="D25" s="64">
        <v>0.7</v>
      </c>
      <c r="E25" s="64">
        <v>0.7</v>
      </c>
      <c r="F25" s="64">
        <v>0.7</v>
      </c>
      <c r="G25" s="64">
        <v>0.7</v>
      </c>
      <c r="H25" s="7"/>
      <c r="I25" s="7"/>
      <c r="J25" s="7"/>
      <c r="K25" s="7"/>
      <c r="L25" s="7"/>
      <c r="M25" s="7"/>
      <c r="N25" s="7"/>
      <c r="O25" s="7"/>
      <c r="P25" s="1"/>
      <c r="Q25" s="1"/>
      <c r="R25" s="2"/>
      <c r="S25" s="2"/>
      <c r="T25" s="2"/>
    </row>
    <row r="26" spans="1:20" x14ac:dyDescent="0.2">
      <c r="A26" s="7" t="s">
        <v>218</v>
      </c>
      <c r="B26" s="64">
        <v>0.95</v>
      </c>
      <c r="C26" s="64">
        <v>1</v>
      </c>
      <c r="D26" s="64"/>
      <c r="E26" s="64">
        <v>0.95</v>
      </c>
      <c r="F26" s="64">
        <v>0.95</v>
      </c>
      <c r="G26" s="64">
        <v>0.95</v>
      </c>
      <c r="H26" s="7"/>
      <c r="I26" s="69" t="s">
        <v>2</v>
      </c>
      <c r="J26" s="7"/>
      <c r="K26" s="7"/>
      <c r="L26" s="7"/>
      <c r="M26" s="7"/>
      <c r="N26" s="7"/>
      <c r="O26" s="7"/>
      <c r="P26" s="1"/>
      <c r="Q26" s="1"/>
      <c r="R26" s="2"/>
      <c r="S26" s="2"/>
      <c r="T26" s="2"/>
    </row>
    <row r="27" spans="1:20" x14ac:dyDescent="0.2">
      <c r="A27" s="7" t="s">
        <v>219</v>
      </c>
      <c r="B27" s="77" t="e">
        <f>B23*((0.11345/(B24*B25*B26))*B22)</f>
        <v>#REF!</v>
      </c>
      <c r="C27" s="77" t="e">
        <f>C23*((0.11345/(C24*C25*C26))*C22)</f>
        <v>#REF!</v>
      </c>
      <c r="D27" s="77" t="e">
        <f>D23*((0.11345/(D24*D25))*D22)</f>
        <v>#REF!</v>
      </c>
      <c r="E27" s="77" t="e">
        <f>E23*((0.11345/(E24*E25*E26))*E22)</f>
        <v>#REF!</v>
      </c>
      <c r="F27" s="77" t="e">
        <f>F23*((0.11345/(F24*F25*F26))*F22)</f>
        <v>#REF!</v>
      </c>
      <c r="G27" s="77" t="e">
        <f>G23*((0.11345/(G24*G25*G26))*G22)</f>
        <v>#REF!</v>
      </c>
      <c r="H27" s="7" t="s">
        <v>220</v>
      </c>
      <c r="I27" s="78" t="e">
        <f>SUM(B35:G35)</f>
        <v>#REF!</v>
      </c>
      <c r="J27" s="7"/>
      <c r="K27" s="7"/>
      <c r="L27" s="7"/>
      <c r="M27" s="7"/>
      <c r="N27" s="7"/>
      <c r="O27" s="7"/>
      <c r="P27" s="1"/>
      <c r="Q27" s="1"/>
      <c r="R27" s="2"/>
      <c r="S27" s="2"/>
      <c r="T27" s="2"/>
    </row>
    <row r="28" spans="1:20" x14ac:dyDescent="0.2">
      <c r="A28" s="7" t="s">
        <v>219</v>
      </c>
      <c r="B28" s="77" t="e">
        <f>B27*#REF!</f>
        <v>#REF!</v>
      </c>
      <c r="C28" s="77" t="e">
        <f>C27*#REF!</f>
        <v>#REF!</v>
      </c>
      <c r="D28" s="77" t="e">
        <f>D27*12</f>
        <v>#REF!</v>
      </c>
      <c r="E28" s="77" t="e">
        <f>E27*12</f>
        <v>#REF!</v>
      </c>
      <c r="F28" s="77" t="e">
        <f>F27*12</f>
        <v>#REF!</v>
      </c>
      <c r="G28" s="77" t="e">
        <f>G27*12</f>
        <v>#REF!</v>
      </c>
      <c r="H28" s="7" t="s">
        <v>8</v>
      </c>
      <c r="I28" s="44"/>
      <c r="J28" s="7"/>
      <c r="K28" s="7"/>
      <c r="L28" s="7"/>
      <c r="M28" s="7"/>
      <c r="N28" s="7"/>
      <c r="O28" s="7"/>
      <c r="P28" s="1"/>
      <c r="Q28" s="1"/>
      <c r="R28" s="2"/>
      <c r="S28" s="2"/>
      <c r="T28" s="2"/>
    </row>
    <row r="29" spans="1:20" x14ac:dyDescent="0.2">
      <c r="A29" s="7" t="s">
        <v>222</v>
      </c>
      <c r="B29" s="64">
        <v>0.1</v>
      </c>
      <c r="C29" s="64">
        <v>0.03</v>
      </c>
      <c r="D29" s="64">
        <v>7.0000000000000007E-2</v>
      </c>
      <c r="E29" s="64">
        <v>0.12</v>
      </c>
      <c r="F29" s="64">
        <v>0.12</v>
      </c>
      <c r="G29" s="64">
        <v>0.15</v>
      </c>
      <c r="H29" s="7"/>
      <c r="I29" s="44"/>
      <c r="J29" s="7"/>
      <c r="K29" s="7"/>
      <c r="L29" s="7"/>
      <c r="M29" s="7"/>
      <c r="N29" s="7"/>
      <c r="O29" s="7"/>
      <c r="P29" s="1"/>
      <c r="Q29" s="1"/>
      <c r="R29" s="2"/>
      <c r="S29" s="2"/>
      <c r="T29" s="2"/>
    </row>
    <row r="30" spans="1:20" x14ac:dyDescent="0.2">
      <c r="A30" s="7" t="s">
        <v>7</v>
      </c>
      <c r="B30" s="61" t="e">
        <f t="shared" ref="B30:G30" si="1">(SUM($B$5:$B$8)-$H$11)*$D$53</f>
        <v>#REF!</v>
      </c>
      <c r="C30" s="61" t="e">
        <f t="shared" si="1"/>
        <v>#REF!</v>
      </c>
      <c r="D30" s="61" t="e">
        <f t="shared" si="1"/>
        <v>#REF!</v>
      </c>
      <c r="E30" s="61" t="e">
        <f t="shared" si="1"/>
        <v>#REF!</v>
      </c>
      <c r="F30" s="61" t="e">
        <f t="shared" si="1"/>
        <v>#REF!</v>
      </c>
      <c r="G30" s="61" t="e">
        <f t="shared" si="1"/>
        <v>#REF!</v>
      </c>
      <c r="H30" s="7"/>
      <c r="I30" s="44"/>
      <c r="J30" s="7"/>
      <c r="K30" s="7"/>
      <c r="L30" s="7"/>
      <c r="M30" s="7"/>
      <c r="N30" s="7"/>
      <c r="O30" s="7"/>
      <c r="P30" s="1"/>
      <c r="Q30" s="1"/>
      <c r="R30" s="2"/>
      <c r="S30" s="2"/>
      <c r="T30" s="2"/>
    </row>
    <row r="31" spans="1:20" x14ac:dyDescent="0.2">
      <c r="A31" s="65" t="s">
        <v>223</v>
      </c>
      <c r="B31" s="66" t="e">
        <f>(1+(B29*1))*B27</f>
        <v>#REF!</v>
      </c>
      <c r="C31" s="66" t="e">
        <f>(1+C29)*C27</f>
        <v>#REF!</v>
      </c>
      <c r="D31" s="66" t="e">
        <f>(1+D29)*D27</f>
        <v>#REF!</v>
      </c>
      <c r="E31" s="66" t="e">
        <f>(1+E29)*E27</f>
        <v>#REF!</v>
      </c>
      <c r="F31" s="66" t="e">
        <f>(1+F29)*F27</f>
        <v>#REF!</v>
      </c>
      <c r="G31" s="66" t="e">
        <f>(1+G29)*G27</f>
        <v>#REF!</v>
      </c>
      <c r="H31" s="65" t="s">
        <v>220</v>
      </c>
      <c r="I31" s="44"/>
      <c r="J31" s="7"/>
      <c r="K31" s="7"/>
      <c r="L31" s="7"/>
      <c r="M31" s="7"/>
      <c r="N31" s="7"/>
      <c r="O31" s="7"/>
      <c r="P31" s="1"/>
      <c r="Q31" s="1"/>
      <c r="R31" s="2"/>
      <c r="S31" s="2"/>
      <c r="T31" s="2"/>
    </row>
    <row r="32" spans="1:20" x14ac:dyDescent="0.2">
      <c r="A32" s="65"/>
      <c r="B32" s="66" t="e">
        <f t="shared" ref="B32:G32" si="2">B31*12</f>
        <v>#REF!</v>
      </c>
      <c r="C32" s="66" t="e">
        <f t="shared" si="2"/>
        <v>#REF!</v>
      </c>
      <c r="D32" s="66" t="e">
        <f t="shared" si="2"/>
        <v>#REF!</v>
      </c>
      <c r="E32" s="66" t="e">
        <f t="shared" si="2"/>
        <v>#REF!</v>
      </c>
      <c r="F32" s="66" t="e">
        <f t="shared" si="2"/>
        <v>#REF!</v>
      </c>
      <c r="G32" s="66" t="e">
        <f t="shared" si="2"/>
        <v>#REF!</v>
      </c>
      <c r="H32" s="65" t="s">
        <v>221</v>
      </c>
      <c r="I32" s="44"/>
      <c r="J32" s="7"/>
      <c r="K32" s="7"/>
      <c r="L32" s="7"/>
      <c r="M32" s="7"/>
      <c r="N32" s="7"/>
      <c r="O32" s="7"/>
      <c r="P32" s="1"/>
      <c r="Q32" s="1"/>
      <c r="R32" s="2"/>
      <c r="S32" s="2"/>
      <c r="T32" s="2"/>
    </row>
    <row r="33" spans="1:20" x14ac:dyDescent="0.2">
      <c r="A33" s="7" t="s">
        <v>224</v>
      </c>
      <c r="B33" s="77">
        <v>3.5</v>
      </c>
      <c r="C33" s="77">
        <f>B33</f>
        <v>3.5</v>
      </c>
      <c r="D33" s="77">
        <f>B33</f>
        <v>3.5</v>
      </c>
      <c r="E33" s="77">
        <f>B33</f>
        <v>3.5</v>
      </c>
      <c r="F33" s="77">
        <f>B33</f>
        <v>3.5</v>
      </c>
      <c r="G33" s="77">
        <f>B33</f>
        <v>3.5</v>
      </c>
      <c r="H33" s="66"/>
      <c r="I33" s="69" t="s">
        <v>115</v>
      </c>
      <c r="J33" s="7"/>
      <c r="K33" s="7"/>
      <c r="L33" s="7"/>
      <c r="M33" s="7"/>
      <c r="N33" s="7"/>
      <c r="O33" s="7"/>
      <c r="P33" s="1"/>
      <c r="Q33" s="1"/>
      <c r="R33" s="2"/>
      <c r="S33" s="2"/>
      <c r="T33" s="2"/>
    </row>
    <row r="34" spans="1:20" x14ac:dyDescent="0.2">
      <c r="A34" s="7" t="s">
        <v>1</v>
      </c>
      <c r="B34" s="79" t="e">
        <f>IF(#REF!=1,B30*#REF!,0)</f>
        <v>#REF!</v>
      </c>
      <c r="C34" s="79" t="e">
        <f>IF(#REF!=2,C30*#REF!,0)</f>
        <v>#REF!</v>
      </c>
      <c r="D34" s="79" t="e">
        <f>IF(#REF!=3,D30*#REF!,0)</f>
        <v>#REF!</v>
      </c>
      <c r="E34" s="79" t="e">
        <f>IF(#REF!=4,E30*#REF!,0)</f>
        <v>#REF!</v>
      </c>
      <c r="F34" s="79" t="e">
        <f>IF(#REF!=5,F30*#REF!,0)</f>
        <v>#REF!</v>
      </c>
      <c r="G34" s="79" t="e">
        <f>IF(#REF!=6,G30*#REF!,0)</f>
        <v>#REF!</v>
      </c>
      <c r="H34" s="7" t="s">
        <v>8</v>
      </c>
      <c r="I34" s="78" t="e">
        <f>SUM(B34:G34)*#REF!</f>
        <v>#REF!</v>
      </c>
      <c r="J34" s="7"/>
      <c r="K34" s="7"/>
      <c r="L34" s="7"/>
      <c r="M34" s="7"/>
      <c r="N34" s="7"/>
      <c r="O34" s="7"/>
      <c r="P34" s="1"/>
      <c r="Q34" s="1"/>
      <c r="R34" s="2"/>
      <c r="S34" s="2"/>
      <c r="T34" s="2"/>
    </row>
    <row r="35" spans="1:20" x14ac:dyDescent="0.2">
      <c r="A35" s="7" t="s">
        <v>219</v>
      </c>
      <c r="B35" s="79" t="e">
        <f>IF(#REF!=1,B27,0)</f>
        <v>#REF!</v>
      </c>
      <c r="C35" s="79" t="e">
        <f>IF(#REF!=2,C27,0)</f>
        <v>#REF!</v>
      </c>
      <c r="D35" s="79" t="e">
        <f>IF(#REF!=3,D27,0)</f>
        <v>#REF!</v>
      </c>
      <c r="E35" s="79" t="e">
        <f>IF(#REF!=4,E27,0)</f>
        <v>#REF!</v>
      </c>
      <c r="F35" s="79" t="e">
        <f>IF(#REF!=5,F27,0)</f>
        <v>#REF!</v>
      </c>
      <c r="G35" s="79" t="e">
        <f>IF(#REF!=6,G27,0)</f>
        <v>#REF!</v>
      </c>
      <c r="H35" s="7" t="s">
        <v>220</v>
      </c>
      <c r="I35" s="7"/>
      <c r="J35" s="7"/>
      <c r="K35" s="7"/>
      <c r="L35" s="7"/>
      <c r="M35" s="7"/>
      <c r="N35" s="7"/>
      <c r="O35" s="7"/>
      <c r="P35" s="1"/>
      <c r="Q35" s="1"/>
      <c r="R35" s="2"/>
      <c r="S35" s="2"/>
      <c r="T35" s="2"/>
    </row>
    <row r="36" spans="1:20" x14ac:dyDescent="0.2">
      <c r="A36" s="7" t="s">
        <v>225</v>
      </c>
      <c r="B36" s="7"/>
      <c r="C36" s="7"/>
      <c r="D36" s="7"/>
      <c r="E36" s="7"/>
      <c r="F36" s="7"/>
      <c r="G36" s="7"/>
      <c r="H36" s="66"/>
      <c r="I36" s="7"/>
      <c r="J36" s="7"/>
      <c r="K36" s="7"/>
      <c r="L36" s="7"/>
      <c r="M36" s="7"/>
      <c r="N36" s="7"/>
      <c r="O36" s="7"/>
      <c r="P36" s="1"/>
      <c r="Q36" s="1"/>
      <c r="R36" s="2"/>
      <c r="S36" s="2"/>
      <c r="T36" s="2"/>
    </row>
    <row r="37" spans="1:20" x14ac:dyDescent="0.2">
      <c r="A37" s="7" t="s">
        <v>226</v>
      </c>
      <c r="B37" s="7"/>
      <c r="C37" s="7"/>
      <c r="D37" s="7"/>
      <c r="E37" s="7"/>
      <c r="F37" s="7"/>
      <c r="G37" s="7"/>
      <c r="H37" s="7"/>
      <c r="I37" s="7"/>
      <c r="J37" s="7"/>
      <c r="K37" s="7"/>
      <c r="L37" s="7"/>
      <c r="M37" s="7"/>
      <c r="N37" s="7"/>
      <c r="O37" s="7"/>
      <c r="P37" s="1"/>
      <c r="Q37" s="1"/>
      <c r="R37" s="2"/>
      <c r="S37" s="2"/>
      <c r="T37" s="2"/>
    </row>
    <row r="38" spans="1:20" x14ac:dyDescent="0.2">
      <c r="A38" s="7" t="s">
        <v>227</v>
      </c>
      <c r="B38" s="7"/>
      <c r="C38" s="7"/>
      <c r="D38" s="7"/>
      <c r="E38" s="7"/>
      <c r="F38" s="7"/>
      <c r="G38" s="7"/>
      <c r="H38" s="7"/>
      <c r="I38" s="7"/>
      <c r="J38" s="7"/>
      <c r="K38" s="7"/>
      <c r="L38" s="7"/>
      <c r="M38" s="7"/>
      <c r="N38" s="7"/>
      <c r="O38" s="7"/>
      <c r="P38" s="1"/>
      <c r="Q38" s="1"/>
      <c r="R38" s="2"/>
      <c r="S38" s="2"/>
      <c r="T38" s="2"/>
    </row>
    <row r="39" spans="1:20" x14ac:dyDescent="0.2">
      <c r="A39" s="7" t="s">
        <v>228</v>
      </c>
      <c r="B39" s="7"/>
      <c r="C39" s="7"/>
      <c r="D39" s="7"/>
      <c r="E39" s="7"/>
      <c r="F39" s="7"/>
      <c r="G39" s="7"/>
      <c r="H39" s="7"/>
      <c r="I39" s="7"/>
      <c r="J39" s="7"/>
      <c r="K39" s="7"/>
      <c r="L39" s="7"/>
      <c r="M39" s="7"/>
      <c r="N39" s="7"/>
      <c r="O39" s="7"/>
      <c r="P39" s="1"/>
      <c r="Q39" s="1"/>
      <c r="R39" s="2"/>
      <c r="S39" s="2"/>
      <c r="T39" s="2"/>
    </row>
    <row r="40" spans="1:20" x14ac:dyDescent="0.2">
      <c r="A40" s="7" t="s">
        <v>229</v>
      </c>
      <c r="B40" s="7"/>
      <c r="C40" s="7"/>
      <c r="D40" s="7"/>
      <c r="E40" s="7"/>
      <c r="F40" s="7"/>
      <c r="G40" s="7"/>
      <c r="H40" s="7"/>
      <c r="I40" s="7"/>
      <c r="J40" s="7"/>
      <c r="K40" s="7"/>
      <c r="L40" s="7"/>
      <c r="M40" s="7"/>
      <c r="N40" s="7"/>
      <c r="O40" s="7"/>
      <c r="P40" s="1"/>
      <c r="Q40" s="1"/>
      <c r="R40" s="2"/>
      <c r="S40" s="2"/>
      <c r="T40" s="2"/>
    </row>
    <row r="41" spans="1:20" x14ac:dyDescent="0.2">
      <c r="A41" s="7" t="s">
        <v>53</v>
      </c>
      <c r="B41" s="7"/>
      <c r="C41" s="7"/>
      <c r="D41" s="7"/>
      <c r="E41" s="7"/>
      <c r="F41" s="7"/>
      <c r="G41" s="7"/>
      <c r="H41" s="7"/>
      <c r="I41" s="7"/>
      <c r="J41" s="7"/>
      <c r="K41" s="7"/>
      <c r="L41" s="7"/>
      <c r="M41" s="7"/>
      <c r="N41" s="7"/>
      <c r="O41" s="7"/>
      <c r="P41" s="1"/>
      <c r="Q41" s="1"/>
      <c r="R41" s="2"/>
      <c r="S41" s="2"/>
      <c r="T41" s="2"/>
    </row>
    <row r="42" spans="1:20" x14ac:dyDescent="0.2">
      <c r="A42" s="7"/>
      <c r="B42" s="7"/>
      <c r="C42" s="7"/>
      <c r="D42" s="7"/>
      <c r="E42" s="7"/>
      <c r="F42" s="7"/>
      <c r="G42" s="7"/>
      <c r="H42" s="7"/>
      <c r="I42" s="7"/>
      <c r="J42" s="7"/>
      <c r="K42" s="7"/>
      <c r="L42" s="7"/>
      <c r="M42" s="7"/>
      <c r="N42" s="7"/>
      <c r="O42" s="7"/>
      <c r="P42" s="1"/>
      <c r="Q42" s="1"/>
      <c r="R42" s="2"/>
      <c r="S42" s="2"/>
      <c r="T42" s="2"/>
    </row>
    <row r="43" spans="1:20" x14ac:dyDescent="0.2">
      <c r="A43" s="7" t="s">
        <v>66</v>
      </c>
      <c r="B43" s="7"/>
      <c r="C43" s="7" t="s">
        <v>67</v>
      </c>
      <c r="D43" s="7"/>
      <c r="E43" s="7"/>
      <c r="F43" s="7"/>
      <c r="G43" s="7"/>
      <c r="H43" s="7"/>
      <c r="I43" s="7"/>
      <c r="J43" s="7"/>
      <c r="K43" s="7"/>
      <c r="L43" s="7"/>
      <c r="M43" s="7"/>
      <c r="N43" s="7"/>
      <c r="O43" s="7"/>
      <c r="P43" s="1"/>
      <c r="Q43" s="1"/>
      <c r="R43" s="2"/>
      <c r="S43" s="2"/>
      <c r="T43" s="2"/>
    </row>
    <row r="44" spans="1:20" x14ac:dyDescent="0.2">
      <c r="A44" s="44" t="s">
        <v>84</v>
      </c>
      <c r="B44" s="44" t="s">
        <v>65</v>
      </c>
      <c r="C44" s="44" t="s">
        <v>91</v>
      </c>
      <c r="D44" s="44" t="s">
        <v>211</v>
      </c>
      <c r="E44" s="7"/>
      <c r="F44" s="7"/>
      <c r="G44" s="7"/>
      <c r="H44" s="7"/>
      <c r="I44" s="7"/>
      <c r="J44" s="7"/>
      <c r="K44" s="7"/>
      <c r="L44" s="7"/>
      <c r="M44" s="7"/>
      <c r="N44" s="7"/>
      <c r="O44" s="7"/>
      <c r="P44" s="1"/>
      <c r="Q44" s="1"/>
      <c r="R44" s="2"/>
      <c r="S44" s="2"/>
      <c r="T44" s="2"/>
    </row>
    <row r="45" spans="1:20" x14ac:dyDescent="0.2">
      <c r="A45" s="44">
        <v>2</v>
      </c>
      <c r="B45" s="44">
        <v>30</v>
      </c>
      <c r="C45" s="44" t="e">
        <f>IF(#REF!=1,#REF!,#REF!)</f>
        <v>#REF!</v>
      </c>
      <c r="D45" s="62" t="e">
        <f>IF(B48&gt;0,C45+(B48*2.31),0)</f>
        <v>#REF!</v>
      </c>
      <c r="E45" s="7"/>
      <c r="F45" s="7"/>
      <c r="G45" s="7"/>
      <c r="H45" s="7"/>
      <c r="I45" s="7"/>
      <c r="J45" s="7"/>
      <c r="K45" s="7"/>
      <c r="L45" s="7"/>
      <c r="M45" s="7"/>
      <c r="N45" s="7"/>
      <c r="O45" s="7"/>
      <c r="P45" s="1"/>
      <c r="Q45" s="1"/>
      <c r="R45" s="2"/>
      <c r="S45" s="2"/>
      <c r="T45" s="2"/>
    </row>
    <row r="46" spans="1:20" x14ac:dyDescent="0.2">
      <c r="A46" s="67"/>
      <c r="B46" s="80" t="e">
        <f>IF(#REF!=1,2,0)</f>
        <v>#REF!</v>
      </c>
      <c r="C46" s="44"/>
      <c r="D46" s="68"/>
      <c r="E46" s="7"/>
      <c r="F46" s="7"/>
      <c r="G46" s="7"/>
      <c r="H46" s="7"/>
      <c r="I46" s="7"/>
      <c r="J46" s="7"/>
      <c r="K46" s="2"/>
      <c r="L46" s="2"/>
      <c r="M46" s="2"/>
      <c r="N46" s="2"/>
      <c r="O46" s="2"/>
      <c r="P46" s="2"/>
      <c r="Q46" s="2"/>
      <c r="R46" s="2"/>
      <c r="S46" s="2"/>
      <c r="T46" s="2"/>
    </row>
    <row r="47" spans="1:20" x14ac:dyDescent="0.2">
      <c r="A47" s="67"/>
      <c r="B47" s="80" t="e">
        <f>IF(#REF!=2,30,0)</f>
        <v>#REF!</v>
      </c>
      <c r="C47" s="10"/>
      <c r="D47" s="7"/>
      <c r="E47" s="7"/>
      <c r="F47" s="7"/>
      <c r="G47" s="7"/>
      <c r="H47" s="7"/>
      <c r="I47" s="2"/>
      <c r="J47" s="2"/>
      <c r="K47" s="2"/>
      <c r="L47" s="2"/>
      <c r="M47" s="2"/>
      <c r="N47" s="2"/>
      <c r="O47" s="2"/>
      <c r="P47" s="2"/>
      <c r="Q47" s="2"/>
      <c r="R47" s="2"/>
      <c r="S47" s="2"/>
      <c r="T47" s="2"/>
    </row>
    <row r="48" spans="1:20" x14ac:dyDescent="0.2">
      <c r="A48" s="67"/>
      <c r="B48" s="80" t="e">
        <f>SUM(B46:B47)</f>
        <v>#REF!</v>
      </c>
      <c r="C48" s="10"/>
      <c r="D48" s="7"/>
      <c r="E48" s="7"/>
      <c r="F48" s="7"/>
      <c r="G48" s="7"/>
      <c r="H48" s="7"/>
      <c r="I48" s="2"/>
      <c r="J48" s="2"/>
      <c r="K48" s="2"/>
      <c r="L48" s="2"/>
      <c r="M48" s="2"/>
      <c r="N48" s="2"/>
      <c r="O48" s="2"/>
      <c r="P48" s="2"/>
      <c r="Q48" s="2"/>
      <c r="R48" s="2"/>
      <c r="S48" s="2"/>
      <c r="T48" s="2"/>
    </row>
    <row r="49" spans="1:20" x14ac:dyDescent="0.2">
      <c r="A49" s="2"/>
      <c r="B49" s="2"/>
      <c r="C49" s="2"/>
      <c r="D49" s="2"/>
      <c r="E49" s="2"/>
      <c r="F49" s="2"/>
      <c r="G49" s="2"/>
      <c r="H49" s="2"/>
      <c r="I49" s="2"/>
      <c r="J49" s="2"/>
      <c r="K49" s="2"/>
      <c r="L49" s="2"/>
      <c r="M49" s="2"/>
      <c r="N49" s="2"/>
      <c r="O49" s="2"/>
      <c r="P49" s="2"/>
      <c r="Q49" s="2"/>
      <c r="R49" s="2"/>
      <c r="S49" s="2"/>
      <c r="T49" s="2"/>
    </row>
    <row r="50" spans="1:20" ht="15" x14ac:dyDescent="0.25">
      <c r="A50" s="2"/>
      <c r="B50" s="8" t="s">
        <v>6</v>
      </c>
      <c r="C50" s="8"/>
      <c r="D50" s="8"/>
      <c r="E50" s="2"/>
      <c r="F50" s="2"/>
      <c r="G50" s="2"/>
      <c r="H50" s="2"/>
      <c r="I50" s="2"/>
      <c r="J50" s="2"/>
      <c r="K50" s="2"/>
      <c r="L50" s="2"/>
      <c r="M50" s="2"/>
      <c r="N50" s="2"/>
      <c r="O50" s="2"/>
      <c r="P50" s="2"/>
      <c r="Q50" s="2"/>
      <c r="R50" s="2"/>
      <c r="S50" s="2"/>
      <c r="T50" s="2"/>
    </row>
    <row r="51" spans="1:20" ht="15" x14ac:dyDescent="0.25">
      <c r="A51" s="2"/>
      <c r="B51" s="11"/>
      <c r="C51" s="11" t="s">
        <v>5</v>
      </c>
      <c r="D51" s="11" t="s">
        <v>177</v>
      </c>
      <c r="E51" s="2"/>
      <c r="F51" s="2"/>
      <c r="G51" s="2"/>
      <c r="H51" s="2"/>
      <c r="I51" s="2"/>
      <c r="J51" s="2"/>
      <c r="K51" s="2"/>
      <c r="L51" s="2"/>
      <c r="M51" s="2"/>
      <c r="N51" s="2"/>
      <c r="O51" s="2"/>
      <c r="P51" s="2"/>
      <c r="Q51" s="2"/>
      <c r="R51" s="2"/>
      <c r="S51" s="2"/>
      <c r="T51" s="2"/>
    </row>
    <row r="52" spans="1:20" ht="15" x14ac:dyDescent="0.25">
      <c r="A52" s="2"/>
      <c r="B52" s="11" t="s">
        <v>4</v>
      </c>
      <c r="C52" s="11" t="s">
        <v>65</v>
      </c>
      <c r="D52" s="11" t="s">
        <v>150</v>
      </c>
      <c r="E52" s="2"/>
      <c r="F52" s="2"/>
      <c r="G52" s="2"/>
      <c r="H52" s="2"/>
      <c r="I52" s="2"/>
      <c r="J52" s="2"/>
      <c r="K52" s="2"/>
      <c r="L52" s="2"/>
      <c r="M52" s="2"/>
      <c r="N52" s="2"/>
      <c r="O52" s="2"/>
      <c r="P52" s="2"/>
      <c r="Q52" s="2"/>
      <c r="R52" s="2"/>
      <c r="S52" s="2"/>
      <c r="T52" s="2"/>
    </row>
    <row r="53" spans="1:20" ht="15" x14ac:dyDescent="0.25">
      <c r="A53" s="2"/>
      <c r="B53" s="81" t="e">
        <f>IF(#REF!=1,0.01/(120*12),0)</f>
        <v>#REF!</v>
      </c>
      <c r="C53" s="81" t="e">
        <f>IF(#REF!=2,0.017/(130*9),0)</f>
        <v>#REF!</v>
      </c>
      <c r="D53" s="81" t="e">
        <f>SUM(B53:C53)</f>
        <v>#REF!</v>
      </c>
      <c r="E53" s="2"/>
      <c r="F53" s="2"/>
      <c r="G53" s="2"/>
      <c r="H53" s="2"/>
      <c r="I53" s="2"/>
      <c r="J53" s="2"/>
      <c r="K53" s="2"/>
      <c r="L53" s="2"/>
      <c r="M53" s="2"/>
      <c r="N53" s="2"/>
      <c r="O53" s="2"/>
      <c r="P53" s="2"/>
      <c r="Q53" s="2"/>
      <c r="R53" s="2"/>
      <c r="S53" s="2"/>
      <c r="T53" s="2"/>
    </row>
    <row r="54" spans="1:20" x14ac:dyDescent="0.2">
      <c r="A54" s="6"/>
      <c r="B54" s="6"/>
      <c r="C54" s="6"/>
      <c r="D54" s="6"/>
      <c r="E54" s="6"/>
      <c r="F54" s="6"/>
      <c r="G54" s="6"/>
      <c r="H54" s="6"/>
      <c r="I54" s="6"/>
      <c r="J54" s="6"/>
      <c r="K54" s="6"/>
      <c r="L54" s="2"/>
      <c r="M54" s="2"/>
      <c r="N54" s="2"/>
      <c r="O54" s="2"/>
      <c r="P54" s="2"/>
      <c r="Q54" s="2"/>
      <c r="R54" s="2"/>
      <c r="S54" s="2"/>
      <c r="T54" s="2"/>
    </row>
    <row r="55" spans="1:20" x14ac:dyDescent="0.2">
      <c r="A55" s="6"/>
      <c r="B55" s="6"/>
      <c r="C55" s="6"/>
      <c r="D55" s="6"/>
      <c r="E55" s="6"/>
      <c r="F55" s="6"/>
      <c r="G55" s="6"/>
      <c r="H55" s="6"/>
      <c r="I55" s="6"/>
      <c r="J55" s="6"/>
      <c r="K55" s="6"/>
      <c r="L55" s="2"/>
      <c r="M55" s="2"/>
      <c r="N55" s="2"/>
      <c r="O55" s="2"/>
      <c r="P55" s="2"/>
      <c r="Q55" s="2"/>
      <c r="R55" s="2"/>
      <c r="S55" s="2"/>
      <c r="T55" s="2"/>
    </row>
    <row r="56" spans="1:20" x14ac:dyDescent="0.2">
      <c r="A56" s="6"/>
      <c r="B56" s="6"/>
      <c r="C56" s="6"/>
      <c r="D56" s="6"/>
      <c r="E56" s="6"/>
      <c r="F56" s="6"/>
      <c r="G56" s="6"/>
      <c r="H56" s="6"/>
      <c r="I56" s="6"/>
      <c r="J56" s="6"/>
      <c r="K56" s="6"/>
      <c r="L56" s="2"/>
      <c r="M56" s="2"/>
      <c r="N56" s="2"/>
      <c r="O56" s="2"/>
      <c r="P56" s="2"/>
      <c r="Q56" s="2"/>
      <c r="R56" s="2"/>
      <c r="S56" s="2"/>
      <c r="T56" s="2"/>
    </row>
    <row r="57" spans="1:20" x14ac:dyDescent="0.2">
      <c r="A57" s="6"/>
      <c r="B57" s="6"/>
      <c r="C57" s="6"/>
      <c r="D57" s="6"/>
      <c r="E57" s="6"/>
      <c r="F57" s="6"/>
      <c r="G57" s="6"/>
      <c r="H57" s="6"/>
      <c r="I57" s="6"/>
      <c r="J57" s="6"/>
      <c r="K57" s="6"/>
      <c r="L57" s="2"/>
      <c r="M57" s="2"/>
      <c r="N57" s="2"/>
      <c r="O57" s="2"/>
      <c r="P57" s="2"/>
      <c r="Q57" s="2"/>
      <c r="R57" s="2"/>
      <c r="S57" s="2"/>
      <c r="T57" s="2"/>
    </row>
    <row r="58" spans="1:20" x14ac:dyDescent="0.2">
      <c r="A58" s="6"/>
      <c r="B58" s="6"/>
      <c r="C58" s="6"/>
      <c r="D58" s="6"/>
      <c r="E58" s="6"/>
      <c r="F58" s="6"/>
      <c r="G58" s="6"/>
      <c r="H58" s="6"/>
      <c r="I58" s="6"/>
      <c r="J58" s="6"/>
      <c r="K58" s="6"/>
      <c r="L58" s="2"/>
      <c r="M58" s="2"/>
      <c r="N58" s="2"/>
      <c r="O58" s="2"/>
      <c r="P58" s="2"/>
      <c r="Q58" s="2"/>
      <c r="R58" s="2"/>
      <c r="S58" s="2"/>
      <c r="T58" s="2"/>
    </row>
    <row r="59" spans="1:20" x14ac:dyDescent="0.2">
      <c r="A59" s="6"/>
      <c r="B59" s="6"/>
      <c r="C59" s="6"/>
      <c r="D59" s="6"/>
      <c r="E59" s="6"/>
      <c r="F59" s="6"/>
      <c r="G59" s="6"/>
      <c r="H59" s="6"/>
      <c r="I59" s="6"/>
      <c r="J59" s="6"/>
      <c r="K59" s="6"/>
      <c r="L59" s="2"/>
      <c r="M59" s="2"/>
      <c r="N59" s="2"/>
      <c r="O59" s="2"/>
      <c r="P59" s="2"/>
      <c r="Q59" s="2"/>
      <c r="R59" s="2"/>
      <c r="S59" s="2"/>
      <c r="T59" s="2"/>
    </row>
    <row r="60" spans="1:20" x14ac:dyDescent="0.2">
      <c r="A60" s="6"/>
      <c r="B60" s="6"/>
      <c r="C60" s="6"/>
      <c r="D60" s="6"/>
      <c r="E60" s="6"/>
      <c r="F60" s="6"/>
      <c r="G60" s="6"/>
      <c r="H60" s="6"/>
      <c r="I60" s="6"/>
      <c r="J60" s="6"/>
      <c r="K60" s="6"/>
      <c r="L60" s="2"/>
      <c r="M60" s="2"/>
      <c r="N60" s="2"/>
      <c r="O60" s="2"/>
      <c r="P60" s="2"/>
      <c r="Q60" s="2"/>
      <c r="R60" s="2"/>
      <c r="S60" s="2"/>
      <c r="T60" s="2"/>
    </row>
    <row r="61" spans="1:20" x14ac:dyDescent="0.2">
      <c r="A61" s="6"/>
      <c r="B61" s="6"/>
      <c r="C61" s="6"/>
      <c r="D61" s="6"/>
      <c r="E61" s="6"/>
      <c r="F61" s="6"/>
      <c r="G61" s="6"/>
      <c r="H61" s="6"/>
      <c r="I61" s="6"/>
      <c r="J61" s="6"/>
      <c r="K61" s="6"/>
      <c r="L61" s="2"/>
      <c r="M61" s="2"/>
      <c r="N61" s="2"/>
      <c r="O61" s="2"/>
      <c r="P61" s="2"/>
      <c r="Q61" s="2"/>
      <c r="R61" s="2"/>
      <c r="S61" s="2"/>
      <c r="T61" s="2"/>
    </row>
    <row r="62" spans="1:20" x14ac:dyDescent="0.2">
      <c r="A62" s="6"/>
      <c r="B62" s="6"/>
      <c r="C62" s="6"/>
      <c r="D62" s="6"/>
      <c r="E62" s="6"/>
      <c r="F62" s="6"/>
      <c r="G62" s="6"/>
      <c r="H62" s="6"/>
      <c r="I62" s="6"/>
      <c r="J62" s="6"/>
      <c r="K62" s="6"/>
      <c r="L62" s="2"/>
      <c r="M62" s="2"/>
      <c r="N62" s="2"/>
      <c r="O62" s="2"/>
      <c r="P62" s="2"/>
      <c r="Q62" s="2"/>
      <c r="R62" s="2"/>
      <c r="S62" s="2"/>
      <c r="T62" s="2"/>
    </row>
    <row r="63" spans="1:20" x14ac:dyDescent="0.2">
      <c r="A63" s="6"/>
      <c r="B63" s="6"/>
      <c r="C63" s="6"/>
      <c r="D63" s="6"/>
      <c r="E63" s="6"/>
      <c r="F63" s="6"/>
      <c r="G63" s="6"/>
      <c r="H63" s="6"/>
      <c r="I63" s="6"/>
      <c r="J63" s="6"/>
      <c r="K63" s="6"/>
      <c r="L63" s="2"/>
      <c r="M63" s="2"/>
      <c r="N63" s="2"/>
      <c r="O63" s="2"/>
      <c r="P63" s="2"/>
      <c r="Q63" s="2"/>
      <c r="R63" s="2"/>
      <c r="S63" s="2"/>
      <c r="T63" s="2"/>
    </row>
    <row r="64" spans="1:20" x14ac:dyDescent="0.2">
      <c r="A64" s="6"/>
      <c r="B64" s="6"/>
      <c r="C64" s="6"/>
      <c r="D64" s="6"/>
      <c r="E64" s="6"/>
      <c r="F64" s="6"/>
      <c r="G64" s="6"/>
      <c r="H64" s="6"/>
      <c r="I64" s="6"/>
      <c r="J64" s="6"/>
      <c r="K64" s="6"/>
      <c r="L64" s="2"/>
      <c r="M64" s="2"/>
      <c r="N64" s="2"/>
      <c r="O64" s="2"/>
      <c r="P64" s="2"/>
      <c r="Q64" s="2"/>
      <c r="R64" s="2"/>
      <c r="S64" s="2"/>
      <c r="T64" s="2"/>
    </row>
    <row r="65" spans="1:20" x14ac:dyDescent="0.2">
      <c r="A65" s="6"/>
      <c r="B65" s="6"/>
      <c r="C65" s="6"/>
      <c r="D65" s="6"/>
      <c r="E65" s="6"/>
      <c r="F65" s="6"/>
      <c r="G65" s="6"/>
      <c r="H65" s="6"/>
      <c r="I65" s="6"/>
      <c r="J65" s="6"/>
      <c r="K65" s="6"/>
      <c r="L65" s="2"/>
      <c r="M65" s="2"/>
      <c r="N65" s="2"/>
      <c r="O65" s="2"/>
      <c r="P65" s="2"/>
      <c r="Q65" s="2"/>
      <c r="R65" s="2"/>
      <c r="S65" s="2"/>
      <c r="T65" s="2"/>
    </row>
    <row r="66" spans="1:20" x14ac:dyDescent="0.2">
      <c r="A66" s="6"/>
      <c r="B66" s="6"/>
      <c r="C66" s="6"/>
      <c r="D66" s="6"/>
      <c r="E66" s="6"/>
      <c r="F66" s="6"/>
      <c r="G66" s="6"/>
      <c r="H66" s="6"/>
      <c r="I66" s="6"/>
      <c r="J66" s="6"/>
      <c r="K66" s="6"/>
      <c r="L66" s="2"/>
      <c r="M66" s="2"/>
      <c r="N66" s="2"/>
      <c r="O66" s="2"/>
      <c r="P66" s="2"/>
      <c r="Q66" s="2"/>
      <c r="R66" s="2"/>
      <c r="S66" s="2"/>
      <c r="T66" s="2"/>
    </row>
    <row r="67" spans="1:20" x14ac:dyDescent="0.2">
      <c r="A67" s="6"/>
      <c r="B67" s="6"/>
      <c r="C67" s="6"/>
      <c r="D67" s="6"/>
      <c r="E67" s="6"/>
      <c r="F67" s="6"/>
      <c r="G67" s="6"/>
      <c r="H67" s="6"/>
      <c r="I67" s="6"/>
      <c r="J67" s="6"/>
      <c r="K67" s="6"/>
      <c r="L67" s="2"/>
      <c r="M67" s="2"/>
      <c r="N67" s="2"/>
      <c r="O67" s="2"/>
      <c r="P67" s="2"/>
      <c r="Q67" s="2"/>
      <c r="R67" s="2"/>
      <c r="S67" s="2"/>
      <c r="T67" s="2"/>
    </row>
    <row r="68" spans="1:20" x14ac:dyDescent="0.2">
      <c r="A68" s="6"/>
      <c r="B68" s="6"/>
      <c r="C68" s="6"/>
      <c r="D68" s="6"/>
      <c r="E68" s="6"/>
      <c r="F68" s="6"/>
      <c r="G68" s="6"/>
      <c r="H68" s="6"/>
      <c r="I68" s="6"/>
      <c r="J68" s="6"/>
      <c r="K68" s="6"/>
      <c r="L68" s="2"/>
      <c r="M68" s="2"/>
      <c r="N68" s="2"/>
      <c r="O68" s="2"/>
      <c r="P68" s="2"/>
      <c r="Q68" s="2"/>
      <c r="R68" s="2"/>
      <c r="S68" s="2"/>
      <c r="T68" s="2"/>
    </row>
    <row r="69" spans="1:20" x14ac:dyDescent="0.2">
      <c r="A69" s="6"/>
      <c r="B69" s="6"/>
      <c r="C69" s="6"/>
      <c r="D69" s="6"/>
      <c r="E69" s="6"/>
      <c r="F69" s="6"/>
      <c r="G69" s="6"/>
      <c r="H69" s="6"/>
      <c r="I69" s="6"/>
      <c r="J69" s="6"/>
      <c r="K69" s="6"/>
      <c r="L69" s="2"/>
      <c r="M69" s="2"/>
      <c r="N69" s="2"/>
      <c r="O69" s="2"/>
      <c r="P69" s="2"/>
      <c r="Q69" s="2"/>
      <c r="R69" s="2"/>
      <c r="S69" s="2"/>
      <c r="T69" s="2"/>
    </row>
    <row r="70" spans="1:20" x14ac:dyDescent="0.2">
      <c r="A70" s="6"/>
      <c r="B70" s="6"/>
      <c r="C70" s="6"/>
      <c r="D70" s="6"/>
      <c r="E70" s="6"/>
      <c r="F70" s="6"/>
      <c r="G70" s="6"/>
      <c r="H70" s="6"/>
      <c r="I70" s="6"/>
      <c r="J70" s="6"/>
      <c r="K70" s="6"/>
      <c r="L70" s="2"/>
      <c r="M70" s="2"/>
      <c r="N70" s="2"/>
      <c r="O70" s="2"/>
      <c r="P70" s="2"/>
      <c r="Q70" s="2"/>
      <c r="R70" s="2"/>
      <c r="S70" s="2"/>
      <c r="T70" s="2"/>
    </row>
    <row r="71" spans="1:20" x14ac:dyDescent="0.2">
      <c r="A71" s="6"/>
      <c r="B71" s="6"/>
      <c r="C71" s="6"/>
      <c r="D71" s="6"/>
      <c r="E71" s="6"/>
      <c r="F71" s="6"/>
      <c r="G71" s="6"/>
      <c r="H71" s="6"/>
      <c r="I71" s="6"/>
      <c r="J71" s="6"/>
      <c r="K71" s="6"/>
      <c r="L71" s="2"/>
      <c r="M71" s="2"/>
      <c r="N71" s="2"/>
      <c r="O71" s="2"/>
      <c r="P71" s="2"/>
      <c r="Q71" s="2"/>
      <c r="R71" s="2"/>
      <c r="S71" s="2"/>
      <c r="T71" s="2"/>
    </row>
    <row r="72" spans="1:20" x14ac:dyDescent="0.2">
      <c r="A72" s="6"/>
      <c r="B72" s="6"/>
      <c r="C72" s="6"/>
      <c r="D72" s="6"/>
      <c r="E72" s="6"/>
      <c r="F72" s="6"/>
      <c r="G72" s="6"/>
      <c r="H72" s="6"/>
      <c r="I72" s="6"/>
      <c r="J72" s="6"/>
      <c r="K72" s="6"/>
      <c r="L72" s="2"/>
      <c r="M72" s="2"/>
      <c r="N72" s="2"/>
      <c r="O72" s="2"/>
      <c r="P72" s="2"/>
      <c r="Q72" s="2"/>
      <c r="R72" s="2"/>
      <c r="S72" s="2"/>
      <c r="T72" s="2"/>
    </row>
    <row r="73" spans="1:20" x14ac:dyDescent="0.2">
      <c r="A73" s="2"/>
      <c r="B73" s="2"/>
      <c r="C73" s="2"/>
      <c r="D73" s="2"/>
      <c r="E73" s="2"/>
      <c r="F73" s="2"/>
      <c r="G73" s="2"/>
      <c r="H73" s="2"/>
      <c r="I73" s="2"/>
      <c r="J73" s="2"/>
      <c r="K73" s="2"/>
      <c r="L73" s="2"/>
      <c r="M73" s="2"/>
      <c r="N73" s="2"/>
      <c r="O73" s="2"/>
      <c r="P73" s="2"/>
      <c r="Q73" s="2"/>
      <c r="R73" s="2"/>
      <c r="S73" s="2"/>
      <c r="T73" s="2"/>
    </row>
    <row r="74" spans="1:20" x14ac:dyDescent="0.2">
      <c r="A74" s="2"/>
      <c r="B74" s="2"/>
      <c r="C74" s="2"/>
      <c r="D74" s="2"/>
      <c r="E74" s="2"/>
      <c r="F74" s="2"/>
      <c r="G74" s="2"/>
      <c r="H74" s="2"/>
      <c r="I74" s="2"/>
      <c r="J74" s="2"/>
      <c r="K74" s="2"/>
      <c r="L74" s="2"/>
      <c r="M74" s="2"/>
      <c r="N74" s="2"/>
      <c r="O74" s="2"/>
      <c r="P74" s="2"/>
      <c r="Q74" s="2"/>
      <c r="R74" s="2"/>
      <c r="S74" s="2"/>
      <c r="T74" s="2"/>
    </row>
    <row r="75" spans="1:20" x14ac:dyDescent="0.2">
      <c r="A75" s="2"/>
      <c r="B75" s="2"/>
      <c r="C75" s="2"/>
      <c r="D75" s="2"/>
      <c r="E75" s="2"/>
      <c r="F75" s="2"/>
      <c r="G75" s="2"/>
      <c r="H75" s="2"/>
      <c r="I75" s="2"/>
      <c r="J75" s="2"/>
      <c r="K75" s="2"/>
      <c r="L75" s="2"/>
      <c r="M75" s="2"/>
      <c r="N75" s="2"/>
      <c r="O75" s="2"/>
      <c r="P75" s="2"/>
      <c r="Q75" s="2"/>
      <c r="R75" s="2"/>
      <c r="S75" s="2"/>
      <c r="T75" s="2"/>
    </row>
    <row r="76" spans="1:20" x14ac:dyDescent="0.2">
      <c r="A76" s="2"/>
      <c r="B76" s="2"/>
      <c r="C76" s="2"/>
      <c r="D76" s="2"/>
      <c r="E76" s="2"/>
      <c r="F76" s="2"/>
      <c r="G76" s="2"/>
      <c r="H76" s="2"/>
      <c r="I76" s="2"/>
      <c r="J76" s="2"/>
      <c r="K76" s="2"/>
      <c r="L76" s="2"/>
      <c r="M76" s="2"/>
      <c r="N76" s="2"/>
      <c r="O76" s="2"/>
      <c r="P76" s="2"/>
      <c r="Q76" s="2"/>
      <c r="R76" s="2"/>
      <c r="S76" s="2"/>
      <c r="T76" s="2"/>
    </row>
    <row r="77" spans="1:20" x14ac:dyDescent="0.2">
      <c r="A77" s="2"/>
      <c r="B77" s="2"/>
      <c r="C77" s="2"/>
      <c r="D77" s="2"/>
      <c r="E77" s="2"/>
      <c r="F77" s="2"/>
      <c r="G77" s="2"/>
      <c r="H77" s="2"/>
      <c r="I77" s="2"/>
      <c r="J77" s="2"/>
      <c r="K77" s="2"/>
      <c r="L77" s="2"/>
      <c r="M77" s="2"/>
      <c r="N77" s="2"/>
      <c r="O77" s="2"/>
      <c r="P77" s="2"/>
      <c r="Q77" s="2"/>
      <c r="R77" s="2"/>
      <c r="S77" s="2"/>
      <c r="T77" s="2"/>
    </row>
    <row r="78" spans="1:20" x14ac:dyDescent="0.2">
      <c r="A78" s="2"/>
      <c r="B78" s="2"/>
      <c r="C78" s="2"/>
      <c r="D78" s="2"/>
      <c r="E78" s="2"/>
      <c r="F78" s="2"/>
      <c r="G78" s="2"/>
      <c r="H78" s="2"/>
      <c r="I78" s="2"/>
      <c r="J78" s="2"/>
      <c r="K78" s="2"/>
      <c r="L78" s="2"/>
      <c r="M78" s="2"/>
      <c r="N78" s="2"/>
      <c r="O78" s="2"/>
      <c r="P78" s="2"/>
      <c r="Q78" s="2"/>
      <c r="R78" s="2"/>
      <c r="S78" s="2"/>
      <c r="T78" s="2"/>
    </row>
    <row r="79" spans="1:20" x14ac:dyDescent="0.2">
      <c r="A79" s="2"/>
      <c r="B79" s="2"/>
      <c r="C79" s="2"/>
      <c r="D79" s="2"/>
      <c r="E79" s="2"/>
      <c r="F79" s="2"/>
      <c r="G79" s="2"/>
      <c r="H79" s="2"/>
      <c r="I79" s="2"/>
      <c r="J79" s="2"/>
      <c r="K79" s="2"/>
      <c r="L79" s="2"/>
      <c r="M79" s="2"/>
      <c r="N79" s="2"/>
      <c r="O79" s="2"/>
      <c r="P79" s="2"/>
      <c r="Q79" s="2"/>
      <c r="R79" s="2"/>
      <c r="S79" s="2"/>
      <c r="T79" s="2"/>
    </row>
    <row r="80" spans="1:20" x14ac:dyDescent="0.2">
      <c r="A80" s="2"/>
      <c r="B80" s="2"/>
      <c r="C80" s="2"/>
      <c r="D80" s="2"/>
      <c r="E80" s="2"/>
      <c r="F80" s="2"/>
      <c r="G80" s="2"/>
      <c r="H80" s="2"/>
      <c r="I80" s="2"/>
      <c r="J80" s="2"/>
      <c r="K80" s="2"/>
      <c r="L80" s="2"/>
      <c r="M80" s="2"/>
      <c r="N80" s="2"/>
      <c r="O80" s="2"/>
      <c r="P80" s="2"/>
      <c r="Q80" s="2"/>
      <c r="R80" s="2"/>
      <c r="S80" s="2"/>
      <c r="T80" s="2"/>
    </row>
    <row r="81" spans="1:20" x14ac:dyDescent="0.2">
      <c r="A81" s="2"/>
      <c r="B81" s="2"/>
      <c r="C81" s="2"/>
      <c r="D81" s="2"/>
      <c r="E81" s="2"/>
      <c r="F81" s="2"/>
      <c r="G81" s="2"/>
      <c r="H81" s="2"/>
      <c r="I81" s="2"/>
      <c r="J81" s="2"/>
      <c r="K81" s="2"/>
      <c r="L81" s="2"/>
      <c r="M81" s="2"/>
      <c r="N81" s="2"/>
      <c r="O81" s="2"/>
      <c r="P81" s="2"/>
      <c r="Q81" s="2"/>
      <c r="R81" s="2"/>
      <c r="S81" s="2"/>
      <c r="T81" s="2"/>
    </row>
    <row r="82" spans="1:20" x14ac:dyDescent="0.2">
      <c r="A82" s="2"/>
      <c r="B82" s="2"/>
      <c r="C82" s="2"/>
      <c r="D82" s="2"/>
      <c r="E82" s="2"/>
      <c r="F82" s="2"/>
      <c r="G82" s="2"/>
      <c r="H82" s="2"/>
      <c r="I82" s="2"/>
      <c r="J82" s="2"/>
      <c r="K82" s="2"/>
      <c r="L82" s="2"/>
      <c r="M82" s="2"/>
      <c r="N82" s="2"/>
      <c r="O82" s="2"/>
      <c r="P82" s="2"/>
      <c r="Q82" s="2"/>
      <c r="R82" s="2"/>
      <c r="S82" s="2"/>
      <c r="T82" s="2"/>
    </row>
    <row r="83" spans="1:20" x14ac:dyDescent="0.2">
      <c r="A83" s="2"/>
      <c r="B83" s="2"/>
      <c r="C83" s="2"/>
      <c r="D83" s="2"/>
      <c r="E83" s="2"/>
      <c r="F83" s="2"/>
      <c r="G83" s="2"/>
      <c r="H83" s="2"/>
      <c r="I83" s="2"/>
      <c r="J83" s="2"/>
      <c r="K83" s="2"/>
      <c r="L83" s="2"/>
      <c r="M83" s="2"/>
      <c r="N83" s="2"/>
      <c r="O83" s="2"/>
      <c r="P83" s="2"/>
      <c r="Q83" s="2"/>
      <c r="R83" s="2"/>
      <c r="S83" s="2"/>
      <c r="T83" s="2"/>
    </row>
    <row r="84" spans="1:20" x14ac:dyDescent="0.2">
      <c r="A84" s="2"/>
      <c r="B84" s="2"/>
      <c r="C84" s="2"/>
      <c r="D84" s="2"/>
      <c r="E84" s="2"/>
      <c r="F84" s="2"/>
      <c r="G84" s="2"/>
      <c r="H84" s="2"/>
      <c r="I84" s="2"/>
      <c r="J84" s="2"/>
      <c r="K84" s="2"/>
      <c r="L84" s="2"/>
      <c r="M84" s="2"/>
      <c r="N84" s="2"/>
      <c r="O84" s="2"/>
      <c r="P84" s="2"/>
      <c r="Q84" s="2"/>
      <c r="R84" s="2"/>
      <c r="S84" s="2"/>
      <c r="T84" s="2"/>
    </row>
    <row r="85" spans="1:20" x14ac:dyDescent="0.2">
      <c r="A85" s="2"/>
      <c r="B85" s="2"/>
      <c r="C85" s="2"/>
      <c r="D85" s="2"/>
      <c r="E85" s="2"/>
      <c r="F85" s="2"/>
      <c r="G85" s="2"/>
      <c r="H85" s="2"/>
      <c r="I85" s="2"/>
      <c r="J85" s="2"/>
      <c r="K85" s="2"/>
      <c r="L85" s="2"/>
      <c r="M85" s="2"/>
      <c r="N85" s="2"/>
      <c r="O85" s="2"/>
      <c r="P85" s="2"/>
      <c r="Q85" s="2"/>
      <c r="R85" s="2"/>
      <c r="S85" s="2"/>
      <c r="T85" s="2"/>
    </row>
    <row r="86" spans="1:20" x14ac:dyDescent="0.2">
      <c r="A86" s="2"/>
      <c r="B86" s="2"/>
      <c r="C86" s="2"/>
      <c r="D86" s="2"/>
      <c r="E86" s="2"/>
      <c r="F86" s="2"/>
      <c r="G86" s="2"/>
      <c r="H86" s="2"/>
      <c r="I86" s="2"/>
      <c r="J86" s="2"/>
      <c r="K86" s="2"/>
      <c r="L86" s="2"/>
      <c r="M86" s="2"/>
      <c r="N86" s="2"/>
      <c r="O86" s="2"/>
      <c r="P86" s="2"/>
      <c r="Q86" s="2"/>
      <c r="R86" s="2"/>
      <c r="S86" s="2"/>
      <c r="T86" s="2"/>
    </row>
    <row r="87" spans="1:20" x14ac:dyDescent="0.2">
      <c r="A87" s="2"/>
      <c r="B87" s="2"/>
      <c r="C87" s="2"/>
      <c r="D87" s="2"/>
      <c r="E87" s="2"/>
      <c r="F87" s="2"/>
      <c r="G87" s="2"/>
      <c r="H87" s="2"/>
      <c r="I87" s="2"/>
      <c r="J87" s="2"/>
      <c r="K87" s="2"/>
      <c r="L87" s="2"/>
      <c r="M87" s="2"/>
      <c r="N87" s="2"/>
      <c r="O87" s="2"/>
      <c r="P87" s="2"/>
      <c r="Q87" s="2"/>
      <c r="R87" s="2"/>
      <c r="S87" s="2"/>
      <c r="T87" s="2"/>
    </row>
    <row r="88" spans="1:20" x14ac:dyDescent="0.2">
      <c r="A88" s="2"/>
      <c r="B88" s="2"/>
      <c r="C88" s="2"/>
      <c r="D88" s="2"/>
      <c r="E88" s="2"/>
      <c r="F88" s="2"/>
      <c r="G88" s="2"/>
      <c r="H88" s="2"/>
      <c r="I88" s="2"/>
      <c r="J88" s="2"/>
      <c r="K88" s="2"/>
      <c r="L88" s="2"/>
      <c r="M88" s="2"/>
      <c r="N88" s="2"/>
      <c r="O88" s="2"/>
      <c r="P88" s="2"/>
      <c r="Q88" s="2"/>
      <c r="R88" s="2"/>
      <c r="S88" s="2"/>
      <c r="T88" s="2"/>
    </row>
    <row r="89" spans="1:20" x14ac:dyDescent="0.2">
      <c r="A89" s="2"/>
      <c r="B89" s="2"/>
      <c r="C89" s="2"/>
      <c r="D89" s="2"/>
      <c r="E89" s="2"/>
      <c r="F89" s="2"/>
      <c r="G89" s="2"/>
      <c r="H89" s="2"/>
      <c r="I89" s="2"/>
      <c r="J89" s="2"/>
      <c r="K89" s="2"/>
      <c r="L89" s="2"/>
      <c r="M89" s="2"/>
      <c r="N89" s="2"/>
      <c r="O89" s="2"/>
      <c r="P89" s="2"/>
      <c r="Q89" s="2"/>
      <c r="R89" s="2"/>
      <c r="S89" s="2"/>
      <c r="T89" s="2"/>
    </row>
    <row r="90" spans="1:20" x14ac:dyDescent="0.2">
      <c r="A90" s="2"/>
      <c r="B90" s="2"/>
      <c r="C90" s="2"/>
      <c r="D90" s="2"/>
      <c r="E90" s="2"/>
      <c r="F90" s="2"/>
      <c r="G90" s="2"/>
      <c r="H90" s="2"/>
      <c r="I90" s="2"/>
      <c r="J90" s="2"/>
      <c r="K90" s="2"/>
      <c r="L90" s="2"/>
      <c r="M90" s="2"/>
      <c r="N90" s="2"/>
      <c r="O90" s="2"/>
      <c r="P90" s="2"/>
      <c r="Q90" s="2"/>
      <c r="R90" s="2"/>
      <c r="S90" s="2"/>
      <c r="T90" s="2"/>
    </row>
    <row r="91" spans="1:20" x14ac:dyDescent="0.2">
      <c r="A91" s="2"/>
      <c r="B91" s="2"/>
      <c r="C91" s="2"/>
      <c r="D91" s="2"/>
      <c r="E91" s="2"/>
      <c r="F91" s="2"/>
      <c r="G91" s="2"/>
      <c r="H91" s="2"/>
      <c r="I91" s="2"/>
      <c r="J91" s="2"/>
      <c r="K91" s="2"/>
      <c r="L91" s="2"/>
      <c r="M91" s="2"/>
      <c r="N91" s="2"/>
      <c r="O91" s="2"/>
      <c r="P91" s="2"/>
      <c r="Q91" s="2"/>
      <c r="R91" s="2"/>
      <c r="S91" s="2"/>
      <c r="T91" s="2"/>
    </row>
    <row r="92" spans="1:20" x14ac:dyDescent="0.2">
      <c r="A92" s="2"/>
      <c r="B92" s="2"/>
      <c r="C92" s="2"/>
      <c r="D92" s="2"/>
      <c r="E92" s="2"/>
      <c r="F92" s="2"/>
      <c r="G92" s="2"/>
      <c r="H92" s="2"/>
      <c r="I92" s="2"/>
      <c r="J92" s="2"/>
      <c r="K92" s="2"/>
      <c r="L92" s="2"/>
      <c r="M92" s="2"/>
      <c r="N92" s="2"/>
      <c r="O92" s="2"/>
      <c r="P92" s="2"/>
      <c r="Q92" s="2"/>
      <c r="R92" s="2"/>
      <c r="S92" s="2"/>
      <c r="T92" s="2"/>
    </row>
    <row r="93" spans="1:20" x14ac:dyDescent="0.2">
      <c r="A93" s="2"/>
      <c r="B93" s="2"/>
      <c r="C93" s="2"/>
      <c r="D93" s="2"/>
      <c r="E93" s="2"/>
      <c r="F93" s="2"/>
      <c r="G93" s="2"/>
      <c r="H93" s="2"/>
      <c r="I93" s="2"/>
      <c r="J93" s="2"/>
      <c r="K93" s="2"/>
      <c r="L93" s="2"/>
      <c r="M93" s="2"/>
      <c r="N93" s="2"/>
      <c r="O93" s="2"/>
      <c r="P93" s="2"/>
      <c r="Q93" s="2"/>
      <c r="R93" s="2"/>
      <c r="S93" s="2"/>
      <c r="T93" s="2"/>
    </row>
    <row r="94" spans="1:20" x14ac:dyDescent="0.2">
      <c r="A94" s="2"/>
      <c r="B94" s="2"/>
      <c r="C94" s="2"/>
      <c r="D94" s="2"/>
      <c r="E94" s="2"/>
      <c r="F94" s="2"/>
      <c r="G94" s="2"/>
      <c r="H94" s="2"/>
      <c r="I94" s="2"/>
      <c r="J94" s="2"/>
      <c r="K94" s="2"/>
      <c r="L94" s="2"/>
      <c r="M94" s="2"/>
      <c r="N94" s="2"/>
      <c r="O94" s="2"/>
      <c r="P94" s="2"/>
      <c r="Q94" s="2"/>
      <c r="R94" s="2"/>
      <c r="S94" s="2"/>
      <c r="T94" s="2"/>
    </row>
    <row r="95" spans="1:20" x14ac:dyDescent="0.2">
      <c r="A95" s="2"/>
      <c r="B95" s="2"/>
      <c r="C95" s="2"/>
      <c r="D95" s="2"/>
      <c r="E95" s="2"/>
      <c r="F95" s="2"/>
      <c r="G95" s="2"/>
      <c r="H95" s="2"/>
      <c r="I95" s="2"/>
      <c r="J95" s="2"/>
      <c r="K95" s="2"/>
      <c r="L95" s="2"/>
      <c r="M95" s="2"/>
      <c r="N95" s="2"/>
      <c r="O95" s="2"/>
      <c r="P95" s="2"/>
      <c r="Q95" s="2"/>
      <c r="R95" s="2"/>
      <c r="S95" s="2"/>
      <c r="T95" s="2"/>
    </row>
    <row r="96" spans="1:20" x14ac:dyDescent="0.2">
      <c r="A96" s="2"/>
      <c r="B96" s="2"/>
      <c r="C96" s="2"/>
      <c r="D96" s="2"/>
      <c r="E96" s="2"/>
      <c r="F96" s="2"/>
      <c r="G96" s="2"/>
      <c r="H96" s="2"/>
      <c r="I96" s="2"/>
      <c r="J96" s="2"/>
      <c r="K96" s="2"/>
      <c r="L96" s="2"/>
      <c r="M96" s="2"/>
      <c r="N96" s="2"/>
      <c r="O96" s="2"/>
      <c r="P96" s="2"/>
      <c r="Q96" s="2"/>
      <c r="R96" s="2"/>
      <c r="S96" s="2"/>
      <c r="T96" s="2"/>
    </row>
    <row r="97" spans="1:20" x14ac:dyDescent="0.2">
      <c r="A97" s="2"/>
      <c r="B97" s="2"/>
      <c r="C97" s="2"/>
      <c r="D97" s="2"/>
      <c r="E97" s="2"/>
      <c r="F97" s="2"/>
      <c r="G97" s="2"/>
      <c r="H97" s="2"/>
      <c r="I97" s="2"/>
      <c r="J97" s="2"/>
      <c r="K97" s="2"/>
      <c r="L97" s="2"/>
      <c r="M97" s="2"/>
      <c r="N97" s="2"/>
      <c r="O97" s="2"/>
      <c r="P97" s="2"/>
      <c r="Q97" s="2"/>
      <c r="R97" s="2"/>
      <c r="S97" s="2"/>
      <c r="T97" s="2"/>
    </row>
    <row r="98" spans="1:20" x14ac:dyDescent="0.2">
      <c r="A98" s="2"/>
      <c r="B98" s="2"/>
      <c r="C98" s="2"/>
      <c r="D98" s="2"/>
      <c r="E98" s="2"/>
      <c r="F98" s="2"/>
      <c r="G98" s="2"/>
      <c r="H98" s="2"/>
      <c r="I98" s="2"/>
      <c r="J98" s="2"/>
      <c r="K98" s="2"/>
      <c r="L98" s="2"/>
      <c r="M98" s="2"/>
      <c r="N98" s="2"/>
      <c r="O98" s="2"/>
      <c r="P98" s="2"/>
      <c r="Q98" s="2"/>
      <c r="R98" s="2"/>
      <c r="S98" s="2"/>
      <c r="T98" s="2"/>
    </row>
    <row r="99" spans="1:20" x14ac:dyDescent="0.2">
      <c r="A99" s="2"/>
      <c r="B99" s="2"/>
      <c r="C99" s="2"/>
      <c r="D99" s="2"/>
      <c r="E99" s="2"/>
      <c r="F99" s="2"/>
      <c r="G99" s="2"/>
      <c r="H99" s="2"/>
      <c r="I99" s="2"/>
      <c r="J99" s="2"/>
      <c r="K99" s="2"/>
      <c r="L99" s="2"/>
      <c r="M99" s="2"/>
      <c r="N99" s="2"/>
      <c r="O99" s="2"/>
      <c r="P99" s="2"/>
      <c r="Q99" s="2"/>
      <c r="R99" s="2"/>
      <c r="S99" s="2"/>
      <c r="T99" s="2"/>
    </row>
    <row r="100" spans="1:20" x14ac:dyDescent="0.2">
      <c r="A100" s="2"/>
      <c r="B100" s="2"/>
      <c r="C100" s="2"/>
      <c r="D100" s="2"/>
      <c r="E100" s="2"/>
      <c r="F100" s="2"/>
      <c r="G100" s="2"/>
      <c r="H100" s="2"/>
      <c r="I100" s="2"/>
      <c r="J100" s="2"/>
      <c r="K100" s="2"/>
      <c r="L100" s="2"/>
      <c r="M100" s="2"/>
      <c r="N100" s="2"/>
      <c r="O100" s="2"/>
      <c r="P100" s="2"/>
      <c r="Q100" s="2"/>
      <c r="R100" s="2"/>
      <c r="S100" s="2"/>
      <c r="T100" s="2"/>
    </row>
    <row r="101" spans="1:20" x14ac:dyDescent="0.2">
      <c r="A101" s="2"/>
      <c r="B101" s="2"/>
      <c r="C101" s="2"/>
      <c r="D101" s="2"/>
      <c r="E101" s="2"/>
      <c r="F101" s="2"/>
      <c r="G101" s="2"/>
      <c r="H101" s="2"/>
      <c r="I101" s="2"/>
      <c r="J101" s="2"/>
      <c r="K101" s="2"/>
      <c r="L101" s="2"/>
      <c r="M101" s="2"/>
      <c r="N101" s="2"/>
      <c r="O101" s="2"/>
      <c r="P101" s="2"/>
      <c r="Q101" s="2"/>
      <c r="R101" s="2"/>
      <c r="S101" s="2"/>
      <c r="T101" s="2"/>
    </row>
    <row r="102" spans="1:20" x14ac:dyDescent="0.2">
      <c r="A102" s="2"/>
      <c r="B102" s="2"/>
      <c r="C102" s="2"/>
      <c r="D102" s="2"/>
      <c r="E102" s="2"/>
      <c r="F102" s="2"/>
      <c r="G102" s="2"/>
      <c r="H102" s="2"/>
      <c r="I102" s="2"/>
      <c r="J102" s="2"/>
      <c r="K102" s="2"/>
      <c r="L102" s="2"/>
      <c r="M102" s="2"/>
      <c r="N102" s="2"/>
      <c r="O102" s="2"/>
      <c r="P102" s="2"/>
      <c r="Q102" s="2"/>
      <c r="R102" s="2"/>
      <c r="S102" s="2"/>
      <c r="T102" s="2"/>
    </row>
    <row r="103" spans="1:20" x14ac:dyDescent="0.2">
      <c r="A103" s="2"/>
      <c r="B103" s="2"/>
      <c r="C103" s="2"/>
      <c r="D103" s="2"/>
      <c r="E103" s="2"/>
      <c r="F103" s="2"/>
      <c r="G103" s="2"/>
      <c r="H103" s="2"/>
      <c r="I103" s="2"/>
      <c r="J103" s="2"/>
      <c r="K103" s="2"/>
      <c r="L103" s="2"/>
      <c r="M103" s="2"/>
      <c r="N103" s="2"/>
      <c r="O103" s="2"/>
      <c r="P103" s="2"/>
      <c r="Q103" s="2"/>
      <c r="R103" s="2"/>
      <c r="S103" s="2"/>
      <c r="T103" s="2"/>
    </row>
    <row r="104" spans="1:20" x14ac:dyDescent="0.2">
      <c r="A104" s="2"/>
      <c r="B104" s="2"/>
      <c r="C104" s="2"/>
      <c r="D104" s="2"/>
      <c r="E104" s="2"/>
      <c r="F104" s="2"/>
      <c r="G104" s="2"/>
      <c r="H104" s="2"/>
      <c r="I104" s="2"/>
      <c r="J104" s="2"/>
      <c r="K104" s="2"/>
      <c r="L104" s="2"/>
      <c r="M104" s="2"/>
      <c r="N104" s="2"/>
      <c r="O104" s="2"/>
      <c r="P104" s="2"/>
      <c r="Q104" s="2"/>
      <c r="R104" s="2"/>
      <c r="S104" s="2"/>
      <c r="T104" s="2"/>
    </row>
    <row r="105" spans="1:20" x14ac:dyDescent="0.2">
      <c r="A105" s="2"/>
      <c r="B105" s="2"/>
      <c r="C105" s="2"/>
      <c r="D105" s="2"/>
      <c r="E105" s="2"/>
      <c r="F105" s="2"/>
      <c r="G105" s="2"/>
      <c r="H105" s="2"/>
      <c r="I105" s="2"/>
      <c r="J105" s="2"/>
      <c r="K105" s="2"/>
      <c r="L105" s="2"/>
      <c r="M105" s="2"/>
      <c r="N105" s="2"/>
      <c r="O105" s="2"/>
      <c r="P105" s="2"/>
      <c r="Q105" s="2"/>
      <c r="R105" s="2"/>
      <c r="S105" s="2"/>
      <c r="T105" s="2"/>
    </row>
    <row r="106" spans="1:20" x14ac:dyDescent="0.2">
      <c r="A106" s="2"/>
      <c r="B106" s="2"/>
      <c r="C106" s="2"/>
      <c r="D106" s="2"/>
      <c r="E106" s="2"/>
      <c r="F106" s="2"/>
      <c r="G106" s="2"/>
      <c r="H106" s="2"/>
      <c r="I106" s="2"/>
      <c r="J106" s="2"/>
      <c r="K106" s="2"/>
      <c r="L106" s="2"/>
      <c r="M106" s="2"/>
      <c r="N106" s="2"/>
      <c r="O106" s="2"/>
      <c r="P106" s="2"/>
      <c r="Q106" s="2"/>
      <c r="R106" s="2"/>
      <c r="S106" s="2"/>
      <c r="T106" s="2"/>
    </row>
    <row r="107" spans="1:20" x14ac:dyDescent="0.2">
      <c r="A107" s="2"/>
      <c r="B107" s="2"/>
      <c r="C107" s="2"/>
      <c r="D107" s="2"/>
      <c r="E107" s="2"/>
      <c r="F107" s="2"/>
      <c r="G107" s="2"/>
      <c r="H107" s="2"/>
      <c r="I107" s="2"/>
      <c r="J107" s="2"/>
      <c r="K107" s="2"/>
      <c r="L107" s="2"/>
      <c r="M107" s="2"/>
      <c r="N107" s="2"/>
      <c r="O107" s="2"/>
      <c r="P107" s="2"/>
      <c r="Q107" s="2"/>
      <c r="R107" s="2"/>
      <c r="S107" s="2"/>
      <c r="T107" s="2"/>
    </row>
    <row r="108" spans="1:20" x14ac:dyDescent="0.2">
      <c r="A108" s="2"/>
      <c r="B108" s="2"/>
      <c r="C108" s="2"/>
      <c r="D108" s="2"/>
      <c r="E108" s="2"/>
      <c r="F108" s="2"/>
      <c r="G108" s="2"/>
      <c r="H108" s="2"/>
      <c r="I108" s="2"/>
      <c r="J108" s="2"/>
      <c r="K108" s="2"/>
      <c r="L108" s="2"/>
      <c r="M108" s="2"/>
      <c r="N108" s="2"/>
      <c r="O108" s="2"/>
      <c r="P108" s="2"/>
      <c r="Q108" s="2"/>
      <c r="R108" s="2"/>
      <c r="S108" s="2"/>
      <c r="T108" s="2"/>
    </row>
    <row r="109" spans="1:20" x14ac:dyDescent="0.2">
      <c r="A109" s="2"/>
      <c r="B109" s="2"/>
      <c r="C109" s="2"/>
      <c r="D109" s="2"/>
      <c r="E109" s="2"/>
      <c r="F109" s="2"/>
      <c r="G109" s="2"/>
      <c r="H109" s="2"/>
      <c r="I109" s="2"/>
      <c r="J109" s="2"/>
      <c r="K109" s="2"/>
      <c r="L109" s="2"/>
      <c r="M109" s="2"/>
      <c r="N109" s="2"/>
      <c r="O109" s="2"/>
      <c r="P109" s="2"/>
      <c r="Q109" s="2"/>
      <c r="R109" s="2"/>
      <c r="S109" s="2"/>
      <c r="T109" s="2"/>
    </row>
    <row r="110" spans="1:20" x14ac:dyDescent="0.2">
      <c r="A110" s="2"/>
      <c r="B110" s="2"/>
      <c r="C110" s="2"/>
      <c r="D110" s="2"/>
      <c r="E110" s="2"/>
      <c r="F110" s="2"/>
      <c r="G110" s="2"/>
      <c r="H110" s="2"/>
      <c r="I110" s="2"/>
      <c r="J110" s="2"/>
      <c r="K110" s="2"/>
      <c r="L110" s="2"/>
      <c r="M110" s="2"/>
      <c r="N110" s="2"/>
      <c r="O110" s="2"/>
      <c r="P110" s="2"/>
      <c r="Q110" s="2"/>
      <c r="R110" s="2"/>
      <c r="S110" s="2"/>
      <c r="T110" s="2"/>
    </row>
    <row r="111" spans="1:20" x14ac:dyDescent="0.2">
      <c r="A111" s="2"/>
      <c r="B111" s="2"/>
      <c r="C111" s="2"/>
      <c r="D111" s="2"/>
      <c r="E111" s="2"/>
      <c r="F111" s="2"/>
      <c r="G111" s="2"/>
      <c r="H111" s="2"/>
      <c r="I111" s="2"/>
      <c r="J111" s="2"/>
      <c r="K111" s="2"/>
      <c r="L111" s="2"/>
      <c r="M111" s="2"/>
      <c r="N111" s="2"/>
      <c r="O111" s="2"/>
      <c r="P111" s="2"/>
      <c r="Q111" s="2"/>
      <c r="R111" s="2"/>
      <c r="S111" s="2"/>
      <c r="T111" s="2"/>
    </row>
    <row r="112" spans="1:20" x14ac:dyDescent="0.2">
      <c r="A112" s="2"/>
      <c r="B112" s="2"/>
      <c r="C112" s="2"/>
      <c r="D112" s="2"/>
      <c r="E112" s="2"/>
      <c r="F112" s="2"/>
      <c r="G112" s="2"/>
      <c r="H112" s="2"/>
      <c r="I112" s="2"/>
      <c r="J112" s="2"/>
      <c r="K112" s="2"/>
      <c r="L112" s="2"/>
      <c r="M112" s="2"/>
      <c r="N112" s="2"/>
      <c r="O112" s="2"/>
      <c r="P112" s="2"/>
      <c r="Q112" s="2"/>
      <c r="R112" s="2"/>
      <c r="S112" s="2"/>
      <c r="T112" s="2"/>
    </row>
    <row r="113" spans="1:20" x14ac:dyDescent="0.2">
      <c r="A113" s="2"/>
      <c r="B113" s="2"/>
      <c r="C113" s="2"/>
      <c r="D113" s="2"/>
      <c r="E113" s="2"/>
      <c r="F113" s="2"/>
      <c r="G113" s="2"/>
      <c r="H113" s="2"/>
      <c r="I113" s="2"/>
      <c r="J113" s="2"/>
      <c r="K113" s="2"/>
      <c r="L113" s="2"/>
      <c r="M113" s="2"/>
      <c r="N113" s="2"/>
      <c r="O113" s="2"/>
      <c r="P113" s="2"/>
      <c r="Q113" s="2"/>
      <c r="R113" s="2"/>
      <c r="S113" s="2"/>
      <c r="T113" s="2"/>
    </row>
    <row r="114" spans="1:20" x14ac:dyDescent="0.2">
      <c r="A114" s="2"/>
      <c r="B114" s="2"/>
      <c r="C114" s="2"/>
      <c r="D114" s="2"/>
      <c r="E114" s="2"/>
      <c r="F114" s="2"/>
      <c r="G114" s="2"/>
      <c r="H114" s="2"/>
      <c r="I114" s="2"/>
      <c r="J114" s="2"/>
      <c r="K114" s="2"/>
      <c r="L114" s="2"/>
      <c r="M114" s="2"/>
      <c r="N114" s="2"/>
      <c r="O114" s="2"/>
      <c r="P114" s="2"/>
      <c r="Q114" s="2"/>
      <c r="R114" s="2"/>
      <c r="S114" s="2"/>
      <c r="T114" s="2"/>
    </row>
    <row r="115" spans="1:20" x14ac:dyDescent="0.2">
      <c r="A115" s="2"/>
      <c r="B115" s="2"/>
      <c r="C115" s="2"/>
      <c r="D115" s="2"/>
      <c r="E115" s="2"/>
      <c r="F115" s="2"/>
      <c r="G115" s="2"/>
      <c r="H115" s="2"/>
      <c r="I115" s="2"/>
      <c r="J115" s="2"/>
      <c r="K115" s="2"/>
      <c r="L115" s="2"/>
      <c r="M115" s="2"/>
      <c r="N115" s="2"/>
      <c r="O115" s="2"/>
      <c r="P115" s="2"/>
      <c r="Q115" s="2"/>
      <c r="R115" s="2"/>
      <c r="S115" s="2"/>
      <c r="T115" s="2"/>
    </row>
    <row r="116" spans="1:20" x14ac:dyDescent="0.2">
      <c r="A116" s="2"/>
      <c r="B116" s="2"/>
      <c r="C116" s="2"/>
      <c r="D116" s="2"/>
      <c r="E116" s="2"/>
      <c r="F116" s="2"/>
      <c r="G116" s="2"/>
      <c r="H116" s="2"/>
      <c r="I116" s="2"/>
      <c r="J116" s="2"/>
      <c r="K116" s="2"/>
      <c r="L116" s="2"/>
      <c r="M116" s="2"/>
      <c r="N116" s="2"/>
      <c r="O116" s="2"/>
      <c r="P116" s="2"/>
      <c r="Q116" s="2"/>
      <c r="R116" s="2"/>
      <c r="S116" s="2"/>
      <c r="T116" s="2"/>
    </row>
    <row r="117" spans="1:20" x14ac:dyDescent="0.2">
      <c r="A117" s="2"/>
      <c r="B117" s="2"/>
      <c r="C117" s="2"/>
      <c r="D117" s="2"/>
      <c r="E117" s="2"/>
      <c r="F117" s="2"/>
      <c r="G117" s="2"/>
      <c r="H117" s="2"/>
      <c r="I117" s="2"/>
      <c r="J117" s="2"/>
      <c r="K117" s="2"/>
      <c r="L117" s="2"/>
      <c r="M117" s="2"/>
      <c r="N117" s="2"/>
      <c r="O117" s="2"/>
      <c r="P117" s="2"/>
      <c r="Q117" s="2"/>
      <c r="R117" s="2"/>
      <c r="S117" s="2"/>
      <c r="T117" s="2"/>
    </row>
    <row r="118" spans="1:20" x14ac:dyDescent="0.2">
      <c r="A118" s="2"/>
      <c r="B118" s="2"/>
      <c r="C118" s="2"/>
      <c r="D118" s="2"/>
      <c r="E118" s="2"/>
      <c r="F118" s="2"/>
      <c r="G118" s="2"/>
      <c r="H118" s="2"/>
      <c r="I118" s="2"/>
      <c r="J118" s="2"/>
      <c r="K118" s="2"/>
      <c r="L118" s="2"/>
      <c r="M118" s="2"/>
      <c r="N118" s="2"/>
      <c r="O118" s="2"/>
      <c r="P118" s="2"/>
      <c r="Q118" s="2"/>
      <c r="R118" s="2"/>
      <c r="S118" s="2"/>
      <c r="T118" s="2"/>
    </row>
    <row r="119" spans="1:20" x14ac:dyDescent="0.2">
      <c r="A119" s="2"/>
      <c r="B119" s="2"/>
      <c r="C119" s="2"/>
      <c r="D119" s="2"/>
      <c r="E119" s="2"/>
      <c r="F119" s="2"/>
      <c r="G119" s="2"/>
      <c r="H119" s="2"/>
      <c r="I119" s="2"/>
      <c r="J119" s="2"/>
      <c r="K119" s="2"/>
      <c r="L119" s="2"/>
      <c r="M119" s="2"/>
      <c r="N119" s="2"/>
      <c r="O119" s="2"/>
      <c r="P119" s="2"/>
      <c r="Q119" s="2"/>
      <c r="R119" s="2"/>
      <c r="S119" s="2"/>
      <c r="T119" s="2"/>
    </row>
    <row r="120" spans="1:20" x14ac:dyDescent="0.2">
      <c r="A120" s="2"/>
      <c r="B120" s="2"/>
      <c r="C120" s="2"/>
      <c r="D120" s="2"/>
      <c r="E120" s="2"/>
      <c r="F120" s="2"/>
      <c r="G120" s="2"/>
      <c r="H120" s="2"/>
      <c r="I120" s="2"/>
      <c r="J120" s="2"/>
      <c r="K120" s="2"/>
      <c r="L120" s="2"/>
      <c r="M120" s="2"/>
      <c r="N120" s="2"/>
      <c r="O120" s="2"/>
      <c r="P120" s="2"/>
      <c r="Q120" s="2"/>
      <c r="R120" s="2"/>
      <c r="S120" s="2"/>
      <c r="T120" s="2"/>
    </row>
    <row r="121" spans="1:20" x14ac:dyDescent="0.2">
      <c r="A121" s="2"/>
      <c r="B121" s="2"/>
      <c r="C121" s="2"/>
      <c r="D121" s="2"/>
      <c r="E121" s="2"/>
      <c r="F121" s="2"/>
      <c r="G121" s="2"/>
      <c r="H121" s="2"/>
      <c r="I121" s="2"/>
      <c r="J121" s="2"/>
      <c r="K121" s="2"/>
      <c r="L121" s="2"/>
      <c r="M121" s="2"/>
      <c r="N121" s="2"/>
      <c r="O121" s="2"/>
      <c r="P121" s="2"/>
      <c r="Q121" s="2"/>
      <c r="R121" s="2"/>
      <c r="S121" s="2"/>
      <c r="T121" s="2"/>
    </row>
    <row r="122" spans="1:20" x14ac:dyDescent="0.2">
      <c r="A122" s="2"/>
      <c r="B122" s="2"/>
      <c r="C122" s="2"/>
      <c r="D122" s="2"/>
      <c r="E122" s="2"/>
      <c r="F122" s="2"/>
      <c r="G122" s="2"/>
      <c r="H122" s="2"/>
      <c r="I122" s="2"/>
      <c r="J122" s="2"/>
      <c r="K122" s="2"/>
      <c r="L122" s="2"/>
      <c r="M122" s="2"/>
      <c r="N122" s="2"/>
      <c r="O122" s="2"/>
      <c r="P122" s="2"/>
      <c r="Q122" s="2"/>
      <c r="R122" s="2"/>
      <c r="S122" s="2"/>
      <c r="T122" s="2"/>
    </row>
    <row r="123" spans="1:20" x14ac:dyDescent="0.2">
      <c r="A123" s="2"/>
      <c r="B123" s="2"/>
      <c r="C123" s="2"/>
      <c r="D123" s="2"/>
      <c r="E123" s="2"/>
      <c r="F123" s="2"/>
      <c r="G123" s="2"/>
      <c r="H123" s="2"/>
      <c r="I123" s="2"/>
      <c r="J123" s="2"/>
      <c r="K123" s="2"/>
      <c r="L123" s="2"/>
      <c r="M123" s="2"/>
      <c r="N123" s="2"/>
      <c r="O123" s="2"/>
      <c r="P123" s="2"/>
      <c r="Q123" s="2"/>
      <c r="R123" s="2"/>
      <c r="S123" s="2"/>
      <c r="T123" s="2"/>
    </row>
    <row r="124" spans="1:20" x14ac:dyDescent="0.2">
      <c r="A124" s="2"/>
      <c r="B124" s="2"/>
      <c r="C124" s="2"/>
      <c r="D124" s="2"/>
      <c r="E124" s="2"/>
      <c r="F124" s="2"/>
      <c r="G124" s="2"/>
      <c r="H124" s="2"/>
      <c r="I124" s="2"/>
      <c r="J124" s="2"/>
      <c r="K124" s="2"/>
      <c r="L124" s="2"/>
      <c r="M124" s="2"/>
      <c r="N124" s="2"/>
      <c r="O124" s="2"/>
      <c r="P124" s="2"/>
      <c r="Q124" s="2"/>
      <c r="R124" s="2"/>
      <c r="S124" s="2"/>
      <c r="T124" s="2"/>
    </row>
    <row r="125" spans="1:20" x14ac:dyDescent="0.2">
      <c r="A125" s="2"/>
      <c r="B125" s="2"/>
      <c r="C125" s="2"/>
      <c r="D125" s="2"/>
      <c r="E125" s="2"/>
      <c r="F125" s="2"/>
      <c r="G125" s="2"/>
      <c r="H125" s="2"/>
      <c r="I125" s="2"/>
      <c r="J125" s="2"/>
      <c r="K125" s="2"/>
      <c r="L125" s="2"/>
      <c r="M125" s="2"/>
      <c r="N125" s="2"/>
      <c r="O125" s="2"/>
      <c r="P125" s="2"/>
      <c r="Q125" s="2"/>
      <c r="R125" s="2"/>
      <c r="S125" s="2"/>
      <c r="T125" s="2"/>
    </row>
    <row r="126" spans="1:20" x14ac:dyDescent="0.2">
      <c r="A126" s="2"/>
      <c r="B126" s="2"/>
      <c r="C126" s="2"/>
      <c r="D126" s="2"/>
      <c r="E126" s="2"/>
      <c r="F126" s="2"/>
      <c r="G126" s="2"/>
      <c r="H126" s="2"/>
      <c r="I126" s="2"/>
      <c r="J126" s="2"/>
      <c r="K126" s="2"/>
      <c r="L126" s="2"/>
      <c r="M126" s="2"/>
      <c r="N126" s="2"/>
      <c r="O126" s="2"/>
      <c r="P126" s="2"/>
      <c r="Q126" s="2"/>
      <c r="R126" s="2"/>
      <c r="S126" s="2"/>
      <c r="T126" s="2"/>
    </row>
    <row r="127" spans="1:20" x14ac:dyDescent="0.2">
      <c r="A127" s="2"/>
      <c r="B127" s="2"/>
      <c r="C127" s="2"/>
      <c r="D127" s="2"/>
      <c r="E127" s="2"/>
      <c r="F127" s="2"/>
      <c r="G127" s="2"/>
      <c r="H127" s="2"/>
      <c r="I127" s="2"/>
      <c r="J127" s="2"/>
      <c r="K127" s="2"/>
      <c r="L127" s="2"/>
      <c r="M127" s="2"/>
      <c r="N127" s="2"/>
      <c r="O127" s="2"/>
      <c r="P127" s="2"/>
      <c r="Q127" s="2"/>
      <c r="R127" s="2"/>
      <c r="S127" s="2"/>
      <c r="T127" s="2"/>
    </row>
    <row r="128" spans="1:20" x14ac:dyDescent="0.2">
      <c r="A128" s="2"/>
      <c r="B128" s="2"/>
      <c r="C128" s="2"/>
      <c r="D128" s="2"/>
      <c r="E128" s="2"/>
      <c r="F128" s="2"/>
      <c r="G128" s="2"/>
      <c r="H128" s="2"/>
      <c r="I128" s="2"/>
      <c r="J128" s="2"/>
      <c r="K128" s="2"/>
      <c r="L128" s="2"/>
      <c r="M128" s="2"/>
      <c r="N128" s="2"/>
      <c r="O128" s="2"/>
      <c r="P128" s="2"/>
      <c r="Q128" s="2"/>
      <c r="R128" s="2"/>
      <c r="S128" s="2"/>
      <c r="T128" s="2"/>
    </row>
    <row r="129" spans="1:20" x14ac:dyDescent="0.2">
      <c r="A129" s="2"/>
      <c r="B129" s="2"/>
      <c r="C129" s="2"/>
      <c r="D129" s="2"/>
      <c r="E129" s="2"/>
      <c r="F129" s="2"/>
      <c r="G129" s="2"/>
      <c r="H129" s="2"/>
      <c r="I129" s="2"/>
      <c r="J129" s="2"/>
      <c r="K129" s="2"/>
      <c r="L129" s="2"/>
      <c r="M129" s="2"/>
      <c r="N129" s="2"/>
      <c r="O129" s="2"/>
      <c r="P129" s="2"/>
      <c r="Q129" s="2"/>
      <c r="R129" s="2"/>
      <c r="S129" s="2"/>
      <c r="T129" s="2"/>
    </row>
    <row r="130" spans="1:20" x14ac:dyDescent="0.2">
      <c r="A130" s="2"/>
      <c r="B130" s="2"/>
      <c r="C130" s="2"/>
      <c r="D130" s="2"/>
      <c r="E130" s="2"/>
      <c r="F130" s="2"/>
      <c r="G130" s="2"/>
      <c r="H130" s="2"/>
      <c r="I130" s="2"/>
      <c r="J130" s="2"/>
      <c r="K130" s="2"/>
      <c r="L130" s="2"/>
      <c r="M130" s="2"/>
      <c r="N130" s="2"/>
      <c r="O130" s="2"/>
      <c r="P130" s="2"/>
      <c r="Q130" s="2"/>
      <c r="R130" s="2"/>
      <c r="S130" s="2"/>
      <c r="T130" s="2"/>
    </row>
    <row r="131" spans="1:20" x14ac:dyDescent="0.2">
      <c r="A131" s="2"/>
      <c r="B131" s="2"/>
      <c r="C131" s="2"/>
      <c r="D131" s="2"/>
      <c r="E131" s="2"/>
      <c r="F131" s="2"/>
      <c r="G131" s="2"/>
      <c r="H131" s="2"/>
      <c r="I131" s="2"/>
      <c r="J131" s="2"/>
      <c r="K131" s="2"/>
      <c r="L131" s="2"/>
      <c r="M131" s="2"/>
      <c r="N131" s="2"/>
      <c r="O131" s="2"/>
      <c r="P131" s="2"/>
      <c r="Q131" s="2"/>
      <c r="R131" s="2"/>
      <c r="S131" s="2"/>
      <c r="T131" s="2"/>
    </row>
    <row r="132" spans="1:20" x14ac:dyDescent="0.2">
      <c r="A132" s="2"/>
      <c r="B132" s="2"/>
      <c r="C132" s="2"/>
      <c r="D132" s="2"/>
      <c r="E132" s="2"/>
      <c r="F132" s="2"/>
      <c r="G132" s="2"/>
      <c r="H132" s="2"/>
      <c r="I132" s="2"/>
      <c r="J132" s="2"/>
      <c r="K132" s="2"/>
      <c r="L132" s="2"/>
      <c r="M132" s="2"/>
      <c r="N132" s="2"/>
      <c r="O132" s="2"/>
      <c r="P132" s="2"/>
      <c r="Q132" s="2"/>
      <c r="R132" s="2"/>
      <c r="S132" s="2"/>
      <c r="T132" s="2"/>
    </row>
    <row r="133" spans="1:20" x14ac:dyDescent="0.2">
      <c r="A133" s="2"/>
      <c r="B133" s="2"/>
      <c r="C133" s="2"/>
      <c r="D133" s="2"/>
      <c r="E133" s="2"/>
      <c r="F133" s="2"/>
      <c r="G133" s="2"/>
      <c r="H133" s="2"/>
      <c r="I133" s="2"/>
      <c r="J133" s="2"/>
      <c r="K133" s="2"/>
      <c r="L133" s="2"/>
      <c r="M133" s="2"/>
      <c r="N133" s="2"/>
      <c r="O133" s="2"/>
      <c r="P133" s="2"/>
      <c r="Q133" s="2"/>
      <c r="R133" s="2"/>
      <c r="S133" s="2"/>
      <c r="T133" s="2"/>
    </row>
    <row r="134" spans="1:20" x14ac:dyDescent="0.2">
      <c r="A134" s="2"/>
      <c r="B134" s="2"/>
      <c r="C134" s="2"/>
      <c r="D134" s="2"/>
      <c r="E134" s="2"/>
      <c r="F134" s="2"/>
      <c r="G134" s="2"/>
      <c r="H134" s="2"/>
      <c r="I134" s="2"/>
      <c r="J134" s="2"/>
      <c r="K134" s="2"/>
      <c r="L134" s="2"/>
      <c r="M134" s="2"/>
      <c r="N134" s="2"/>
      <c r="O134" s="2"/>
      <c r="P134" s="2"/>
      <c r="Q134" s="2"/>
      <c r="R134" s="2"/>
      <c r="S134" s="2"/>
      <c r="T134" s="2"/>
    </row>
    <row r="135" spans="1:20" x14ac:dyDescent="0.2">
      <c r="A135" s="2"/>
      <c r="B135" s="2"/>
      <c r="C135" s="2"/>
      <c r="D135" s="2"/>
      <c r="E135" s="2"/>
      <c r="F135" s="2"/>
      <c r="G135" s="2"/>
      <c r="H135" s="2"/>
      <c r="I135" s="2"/>
      <c r="J135" s="2"/>
      <c r="K135" s="2"/>
      <c r="L135" s="2"/>
      <c r="M135" s="2"/>
      <c r="N135" s="2"/>
      <c r="O135" s="2"/>
      <c r="P135" s="2"/>
      <c r="Q135" s="2"/>
      <c r="R135" s="2"/>
      <c r="S135" s="2"/>
      <c r="T135" s="2"/>
    </row>
    <row r="136" spans="1:20" x14ac:dyDescent="0.2">
      <c r="A136" s="2"/>
      <c r="B136" s="2"/>
      <c r="C136" s="2"/>
      <c r="D136" s="2"/>
      <c r="E136" s="2"/>
      <c r="F136" s="2"/>
      <c r="G136" s="2"/>
      <c r="H136" s="2"/>
      <c r="I136" s="2"/>
      <c r="J136" s="2"/>
      <c r="K136" s="2"/>
      <c r="L136" s="2"/>
      <c r="M136" s="2"/>
      <c r="N136" s="2"/>
      <c r="O136" s="2"/>
      <c r="P136" s="2"/>
      <c r="Q136" s="2"/>
      <c r="R136" s="2"/>
      <c r="S136" s="2"/>
      <c r="T136" s="2"/>
    </row>
    <row r="137" spans="1:20" x14ac:dyDescent="0.2">
      <c r="A137" s="2"/>
      <c r="B137" s="2"/>
      <c r="C137" s="2"/>
      <c r="D137" s="2"/>
      <c r="E137" s="2"/>
      <c r="F137" s="2"/>
      <c r="G137" s="2"/>
      <c r="H137" s="2"/>
      <c r="I137" s="2"/>
      <c r="J137" s="2"/>
      <c r="K137" s="2"/>
      <c r="L137" s="2"/>
      <c r="M137" s="2"/>
      <c r="N137" s="2"/>
      <c r="O137" s="2"/>
      <c r="P137" s="2"/>
      <c r="Q137" s="2"/>
      <c r="R137" s="2"/>
      <c r="S137" s="2"/>
      <c r="T137" s="2"/>
    </row>
    <row r="138" spans="1:20" x14ac:dyDescent="0.2">
      <c r="A138" s="2"/>
      <c r="B138" s="2"/>
      <c r="C138" s="2"/>
      <c r="D138" s="2"/>
      <c r="E138" s="2"/>
      <c r="F138" s="2"/>
      <c r="G138" s="2"/>
      <c r="H138" s="2"/>
      <c r="I138" s="2"/>
      <c r="J138" s="2"/>
      <c r="K138" s="2"/>
      <c r="L138" s="2"/>
      <c r="M138" s="2"/>
      <c r="N138" s="2"/>
      <c r="O138" s="2"/>
      <c r="P138" s="2"/>
      <c r="Q138" s="2"/>
      <c r="R138" s="2"/>
      <c r="S138" s="2"/>
      <c r="T138" s="2"/>
    </row>
    <row r="139" spans="1:20" x14ac:dyDescent="0.2">
      <c r="A139" s="2"/>
      <c r="B139" s="2"/>
      <c r="C139" s="2"/>
      <c r="D139" s="2"/>
      <c r="E139" s="2"/>
      <c r="F139" s="2"/>
      <c r="G139" s="2"/>
      <c r="H139" s="2"/>
      <c r="I139" s="2"/>
      <c r="J139" s="2"/>
      <c r="K139" s="2"/>
      <c r="L139" s="2"/>
      <c r="M139" s="2"/>
      <c r="N139" s="2"/>
      <c r="O139" s="2"/>
      <c r="P139" s="2"/>
      <c r="Q139" s="2"/>
      <c r="R139" s="2"/>
      <c r="S139" s="2"/>
      <c r="T139" s="2"/>
    </row>
    <row r="140" spans="1:20" x14ac:dyDescent="0.2">
      <c r="A140" s="2"/>
      <c r="B140" s="2"/>
      <c r="C140" s="2"/>
      <c r="D140" s="2"/>
      <c r="E140" s="2"/>
      <c r="F140" s="2"/>
      <c r="G140" s="2"/>
      <c r="H140" s="2"/>
      <c r="I140" s="2"/>
      <c r="J140" s="2"/>
      <c r="K140" s="2"/>
      <c r="L140" s="2"/>
      <c r="M140" s="2"/>
      <c r="N140" s="2"/>
      <c r="O140" s="2"/>
      <c r="P140" s="2"/>
      <c r="Q140" s="2"/>
      <c r="R140" s="2"/>
      <c r="S140" s="2"/>
      <c r="T140" s="2"/>
    </row>
    <row r="141" spans="1:20" x14ac:dyDescent="0.2">
      <c r="A141" s="2"/>
      <c r="B141" s="2"/>
      <c r="C141" s="2"/>
      <c r="D141" s="2"/>
      <c r="E141" s="2"/>
      <c r="F141" s="2"/>
      <c r="G141" s="2"/>
      <c r="H141" s="2"/>
      <c r="I141" s="2"/>
      <c r="J141" s="2"/>
      <c r="K141" s="2"/>
      <c r="L141" s="2"/>
      <c r="M141" s="2"/>
      <c r="N141" s="2"/>
      <c r="O141" s="2"/>
      <c r="P141" s="2"/>
      <c r="Q141" s="2"/>
      <c r="R141" s="2"/>
      <c r="S141" s="2"/>
      <c r="T141" s="2"/>
    </row>
    <row r="142" spans="1:20" x14ac:dyDescent="0.2">
      <c r="A142" s="2"/>
      <c r="B142" s="2"/>
      <c r="C142" s="2"/>
      <c r="D142" s="2"/>
      <c r="E142" s="2"/>
      <c r="F142" s="2"/>
      <c r="G142" s="2"/>
      <c r="H142" s="2"/>
      <c r="I142" s="2"/>
      <c r="J142" s="2"/>
      <c r="K142" s="2"/>
      <c r="L142" s="2"/>
      <c r="M142" s="2"/>
      <c r="N142" s="2"/>
      <c r="O142" s="2"/>
      <c r="P142" s="2"/>
      <c r="Q142" s="2"/>
      <c r="R142" s="2"/>
      <c r="S142" s="2"/>
      <c r="T142" s="2"/>
    </row>
    <row r="143" spans="1:20" x14ac:dyDescent="0.2">
      <c r="A143" s="2"/>
      <c r="B143" s="2"/>
      <c r="C143" s="2"/>
      <c r="D143" s="2"/>
      <c r="E143" s="2"/>
      <c r="F143" s="2"/>
      <c r="G143" s="2"/>
      <c r="H143" s="2"/>
      <c r="I143" s="2"/>
      <c r="J143" s="2"/>
      <c r="K143" s="2"/>
      <c r="L143" s="2"/>
      <c r="M143" s="2"/>
      <c r="N143" s="2"/>
      <c r="O143" s="2"/>
      <c r="P143" s="2"/>
      <c r="Q143" s="2"/>
      <c r="R143" s="2"/>
      <c r="S143" s="2"/>
      <c r="T143" s="2"/>
    </row>
    <row r="144" spans="1:20" x14ac:dyDescent="0.2">
      <c r="A144" s="2"/>
      <c r="B144" s="2"/>
      <c r="C144" s="2"/>
      <c r="D144" s="2"/>
      <c r="E144" s="2"/>
      <c r="F144" s="2"/>
      <c r="G144" s="2"/>
      <c r="H144" s="2"/>
      <c r="I144" s="2"/>
      <c r="J144" s="2"/>
      <c r="K144" s="2"/>
      <c r="L144" s="2"/>
      <c r="M144" s="2"/>
      <c r="N144" s="2"/>
      <c r="O144" s="2"/>
      <c r="P144" s="2"/>
      <c r="Q144" s="2"/>
      <c r="R144" s="2"/>
      <c r="S144" s="2"/>
      <c r="T144" s="2"/>
    </row>
    <row r="145" spans="1:20" x14ac:dyDescent="0.2">
      <c r="A145" s="2"/>
      <c r="B145" s="2"/>
      <c r="C145" s="2"/>
      <c r="D145" s="2"/>
      <c r="E145" s="2"/>
      <c r="F145" s="2"/>
      <c r="G145" s="2"/>
      <c r="H145" s="2"/>
      <c r="I145" s="2"/>
      <c r="J145" s="2"/>
      <c r="K145" s="2"/>
      <c r="L145" s="2"/>
      <c r="M145" s="2"/>
      <c r="N145" s="2"/>
      <c r="O145" s="2"/>
      <c r="P145" s="2"/>
      <c r="Q145" s="2"/>
      <c r="R145" s="2"/>
      <c r="S145" s="2"/>
      <c r="T145" s="2"/>
    </row>
    <row r="146" spans="1:20" x14ac:dyDescent="0.2">
      <c r="A146" s="2"/>
      <c r="B146" s="2"/>
      <c r="C146" s="2"/>
      <c r="D146" s="2"/>
      <c r="E146" s="2"/>
      <c r="F146" s="2"/>
      <c r="G146" s="2"/>
      <c r="H146" s="2"/>
      <c r="I146" s="2"/>
      <c r="J146" s="2"/>
      <c r="K146" s="2"/>
      <c r="L146" s="2"/>
      <c r="M146" s="2"/>
      <c r="N146" s="2"/>
      <c r="O146" s="2"/>
      <c r="P146" s="2"/>
      <c r="Q146" s="2"/>
      <c r="R146" s="2"/>
      <c r="S146" s="2"/>
      <c r="T146" s="2"/>
    </row>
    <row r="147" spans="1:20" x14ac:dyDescent="0.2">
      <c r="A147" s="2"/>
      <c r="B147" s="2"/>
      <c r="C147" s="2"/>
      <c r="D147" s="2"/>
      <c r="E147" s="2"/>
      <c r="F147" s="2"/>
      <c r="G147" s="2"/>
      <c r="H147" s="2"/>
      <c r="I147" s="2"/>
      <c r="J147" s="2"/>
      <c r="K147" s="2"/>
      <c r="L147" s="2"/>
      <c r="M147" s="2"/>
      <c r="N147" s="2"/>
      <c r="O147" s="2"/>
      <c r="P147" s="2"/>
      <c r="Q147" s="2"/>
      <c r="R147" s="2"/>
      <c r="S147" s="2"/>
      <c r="T147" s="2"/>
    </row>
    <row r="148" spans="1:20" x14ac:dyDescent="0.2">
      <c r="A148" s="2"/>
      <c r="B148" s="2"/>
      <c r="C148" s="2"/>
      <c r="D148" s="2"/>
      <c r="E148" s="2"/>
      <c r="F148" s="2"/>
      <c r="G148" s="2"/>
      <c r="H148" s="2"/>
      <c r="I148" s="2"/>
      <c r="J148" s="2"/>
      <c r="K148" s="2"/>
      <c r="L148" s="2"/>
      <c r="M148" s="2"/>
      <c r="N148" s="2"/>
      <c r="O148" s="2"/>
      <c r="P148" s="2"/>
      <c r="Q148" s="2"/>
      <c r="R148" s="2"/>
      <c r="S148" s="2"/>
      <c r="T148" s="2"/>
    </row>
    <row r="149" spans="1:20" x14ac:dyDescent="0.2">
      <c r="A149" s="2"/>
      <c r="B149" s="2"/>
      <c r="C149" s="2"/>
      <c r="D149" s="2"/>
      <c r="E149" s="2"/>
      <c r="F149" s="2"/>
      <c r="G149" s="2"/>
      <c r="H149" s="2"/>
      <c r="I149" s="2"/>
      <c r="J149" s="2"/>
      <c r="K149" s="2"/>
      <c r="L149" s="2"/>
      <c r="M149" s="2"/>
      <c r="N149" s="2"/>
      <c r="O149" s="2"/>
      <c r="P149" s="2"/>
      <c r="Q149" s="2"/>
      <c r="R149" s="2"/>
      <c r="S149" s="2"/>
      <c r="T149" s="2"/>
    </row>
    <row r="150" spans="1:20" x14ac:dyDescent="0.2">
      <c r="A150" s="2"/>
      <c r="B150" s="2"/>
      <c r="C150" s="2"/>
      <c r="D150" s="2"/>
      <c r="E150" s="2"/>
      <c r="F150" s="2"/>
      <c r="G150" s="2"/>
      <c r="H150" s="2"/>
      <c r="I150" s="2"/>
      <c r="J150" s="2"/>
      <c r="K150" s="2"/>
      <c r="L150" s="2"/>
      <c r="M150" s="2"/>
      <c r="N150" s="2"/>
      <c r="O150" s="2"/>
      <c r="P150" s="2"/>
      <c r="Q150" s="2"/>
      <c r="R150" s="2"/>
      <c r="S150" s="2"/>
      <c r="T150" s="2"/>
    </row>
    <row r="151" spans="1:20" x14ac:dyDescent="0.2">
      <c r="A151" s="2"/>
      <c r="B151" s="2"/>
      <c r="C151" s="2"/>
      <c r="D151" s="2"/>
      <c r="E151" s="2"/>
      <c r="F151" s="2"/>
      <c r="G151" s="2"/>
      <c r="H151" s="2"/>
      <c r="I151" s="2"/>
      <c r="J151" s="2"/>
      <c r="K151" s="2"/>
      <c r="L151" s="2"/>
      <c r="M151" s="2"/>
      <c r="N151" s="2"/>
      <c r="O151" s="2"/>
      <c r="P151" s="2"/>
      <c r="Q151" s="2"/>
      <c r="R151" s="2"/>
      <c r="S151" s="2"/>
      <c r="T151" s="2"/>
    </row>
    <row r="152" spans="1:20" x14ac:dyDescent="0.2">
      <c r="A152" s="2"/>
      <c r="B152" s="2"/>
      <c r="C152" s="2"/>
      <c r="D152" s="2"/>
      <c r="E152" s="2"/>
      <c r="F152" s="2"/>
      <c r="G152" s="2"/>
      <c r="H152" s="2"/>
      <c r="I152" s="2"/>
      <c r="J152" s="2"/>
      <c r="K152" s="2"/>
      <c r="L152" s="2"/>
      <c r="M152" s="2"/>
      <c r="N152" s="2"/>
      <c r="O152" s="2"/>
      <c r="P152" s="2"/>
      <c r="Q152" s="2"/>
      <c r="R152" s="2"/>
      <c r="S152" s="2"/>
      <c r="T152" s="2"/>
    </row>
    <row r="153" spans="1:20" x14ac:dyDescent="0.2">
      <c r="A153" s="2"/>
      <c r="B153" s="2"/>
      <c r="C153" s="2"/>
      <c r="D153" s="2"/>
      <c r="E153" s="2"/>
      <c r="F153" s="2"/>
      <c r="G153" s="2"/>
      <c r="H153" s="2"/>
      <c r="I153" s="2"/>
      <c r="J153" s="2"/>
      <c r="K153" s="2"/>
      <c r="L153" s="2"/>
      <c r="M153" s="2"/>
      <c r="N153" s="2"/>
      <c r="O153" s="2"/>
      <c r="P153" s="2"/>
      <c r="Q153" s="2"/>
      <c r="R153" s="2"/>
      <c r="S153" s="2"/>
      <c r="T153" s="2"/>
    </row>
    <row r="154" spans="1:20" x14ac:dyDescent="0.2">
      <c r="A154" s="2"/>
      <c r="B154" s="2"/>
      <c r="C154" s="2"/>
      <c r="D154" s="2"/>
      <c r="E154" s="2"/>
      <c r="F154" s="2"/>
      <c r="G154" s="2"/>
      <c r="H154" s="2"/>
      <c r="I154" s="2"/>
      <c r="J154" s="2"/>
      <c r="K154" s="2"/>
      <c r="L154" s="2"/>
      <c r="M154" s="2"/>
      <c r="N154" s="2"/>
      <c r="O154" s="2"/>
      <c r="P154" s="2"/>
      <c r="Q154" s="2"/>
      <c r="R154" s="2"/>
      <c r="S154" s="2"/>
      <c r="T154" s="2"/>
    </row>
    <row r="155" spans="1:20" x14ac:dyDescent="0.2">
      <c r="A155" s="2"/>
      <c r="B155" s="2"/>
      <c r="C155" s="2"/>
      <c r="D155" s="2"/>
      <c r="E155" s="2"/>
      <c r="F155" s="2"/>
      <c r="G155" s="2"/>
      <c r="H155" s="2"/>
      <c r="I155" s="2"/>
      <c r="J155" s="2"/>
      <c r="K155" s="2"/>
      <c r="L155" s="2"/>
      <c r="M155" s="2"/>
      <c r="N155" s="2"/>
      <c r="O155" s="2"/>
      <c r="P155" s="2"/>
      <c r="Q155" s="2"/>
      <c r="R155" s="2"/>
      <c r="S155" s="2"/>
      <c r="T155" s="2"/>
    </row>
    <row r="156" spans="1:20" x14ac:dyDescent="0.2">
      <c r="A156" s="2"/>
      <c r="B156" s="2"/>
      <c r="C156" s="2"/>
      <c r="D156" s="2"/>
      <c r="E156" s="2"/>
      <c r="F156" s="2"/>
      <c r="G156" s="2"/>
      <c r="H156" s="2"/>
      <c r="I156" s="2"/>
      <c r="J156" s="2"/>
      <c r="K156" s="2"/>
      <c r="L156" s="2"/>
      <c r="M156" s="2"/>
      <c r="N156" s="2"/>
      <c r="O156" s="2"/>
      <c r="P156" s="2"/>
      <c r="Q156" s="2"/>
      <c r="R156" s="2"/>
      <c r="S156" s="2"/>
      <c r="T156" s="2"/>
    </row>
    <row r="157" spans="1:20" x14ac:dyDescent="0.2">
      <c r="A157" s="2"/>
      <c r="B157" s="2"/>
      <c r="C157" s="2"/>
      <c r="D157" s="2"/>
      <c r="E157" s="2"/>
      <c r="F157" s="2"/>
      <c r="G157" s="2"/>
      <c r="H157" s="2"/>
      <c r="I157" s="2"/>
      <c r="J157" s="2"/>
      <c r="K157" s="2"/>
      <c r="L157" s="2"/>
      <c r="M157" s="2"/>
      <c r="N157" s="2"/>
      <c r="O157" s="2"/>
      <c r="P157" s="2"/>
      <c r="Q157" s="2"/>
      <c r="R157" s="2"/>
      <c r="S157" s="2"/>
      <c r="T157" s="2"/>
    </row>
    <row r="158" spans="1:20" x14ac:dyDescent="0.2">
      <c r="A158" s="2"/>
      <c r="B158" s="2"/>
      <c r="C158" s="2"/>
      <c r="D158" s="2"/>
      <c r="E158" s="2"/>
      <c r="F158" s="2"/>
      <c r="G158" s="2"/>
      <c r="H158" s="2"/>
      <c r="I158" s="2"/>
      <c r="J158" s="2"/>
      <c r="K158" s="2"/>
      <c r="L158" s="2"/>
      <c r="M158" s="2"/>
      <c r="N158" s="2"/>
      <c r="O158" s="2"/>
      <c r="P158" s="2"/>
      <c r="Q158" s="2"/>
      <c r="R158" s="2"/>
      <c r="S158" s="2"/>
      <c r="T158" s="2"/>
    </row>
    <row r="159" spans="1:20" x14ac:dyDescent="0.2">
      <c r="A159" s="2"/>
      <c r="B159" s="2"/>
      <c r="C159" s="2"/>
      <c r="D159" s="2"/>
      <c r="E159" s="2"/>
      <c r="F159" s="2"/>
      <c r="G159" s="2"/>
      <c r="H159" s="2"/>
      <c r="I159" s="2"/>
      <c r="J159" s="2"/>
      <c r="K159" s="2"/>
      <c r="L159" s="2"/>
      <c r="M159" s="2"/>
      <c r="N159" s="2"/>
      <c r="O159" s="2"/>
      <c r="P159" s="2"/>
      <c r="Q159" s="2"/>
      <c r="R159" s="2"/>
      <c r="S159" s="2"/>
      <c r="T159" s="2"/>
    </row>
    <row r="160" spans="1:20" x14ac:dyDescent="0.2">
      <c r="A160" s="2"/>
      <c r="B160" s="2"/>
      <c r="C160" s="2"/>
      <c r="D160" s="2"/>
      <c r="E160" s="2"/>
      <c r="F160" s="2"/>
      <c r="G160" s="2"/>
      <c r="H160" s="2"/>
      <c r="I160" s="2"/>
      <c r="J160" s="2"/>
      <c r="K160" s="2"/>
      <c r="L160" s="2"/>
      <c r="M160" s="2"/>
      <c r="N160" s="2"/>
      <c r="O160" s="2"/>
      <c r="P160" s="2"/>
      <c r="Q160" s="2"/>
      <c r="R160" s="2"/>
      <c r="S160" s="2"/>
      <c r="T160" s="2"/>
    </row>
    <row r="161" spans="1:20" x14ac:dyDescent="0.2">
      <c r="A161" s="2"/>
      <c r="B161" s="2"/>
      <c r="C161" s="2"/>
      <c r="D161" s="2"/>
      <c r="E161" s="2"/>
      <c r="F161" s="2"/>
      <c r="G161" s="2"/>
      <c r="H161" s="2"/>
      <c r="I161" s="2"/>
      <c r="J161" s="2"/>
      <c r="K161" s="2"/>
      <c r="L161" s="2"/>
      <c r="M161" s="2"/>
      <c r="N161" s="2"/>
      <c r="O161" s="2"/>
      <c r="P161" s="2"/>
      <c r="Q161" s="2"/>
      <c r="R161" s="2"/>
      <c r="S161" s="2"/>
      <c r="T161" s="2"/>
    </row>
    <row r="162" spans="1:20" x14ac:dyDescent="0.2">
      <c r="A162" s="2"/>
      <c r="B162" s="2"/>
      <c r="C162" s="2"/>
      <c r="D162" s="2"/>
      <c r="E162" s="2"/>
      <c r="F162" s="2"/>
      <c r="G162" s="2"/>
      <c r="H162" s="2"/>
      <c r="I162" s="2"/>
      <c r="J162" s="2"/>
      <c r="K162" s="2"/>
      <c r="L162" s="2"/>
      <c r="M162" s="2"/>
      <c r="N162" s="2"/>
      <c r="O162" s="2"/>
      <c r="P162" s="2"/>
      <c r="Q162" s="2"/>
      <c r="R162" s="2"/>
      <c r="S162" s="2"/>
      <c r="T162" s="2"/>
    </row>
    <row r="163" spans="1:20" x14ac:dyDescent="0.2">
      <c r="A163" s="2"/>
      <c r="B163" s="2"/>
      <c r="C163" s="2"/>
      <c r="D163" s="2"/>
      <c r="E163" s="2"/>
      <c r="F163" s="2"/>
      <c r="G163" s="2"/>
      <c r="H163" s="2"/>
      <c r="I163" s="2"/>
      <c r="J163" s="2"/>
      <c r="K163" s="2"/>
      <c r="L163" s="2"/>
      <c r="M163" s="2"/>
      <c r="N163" s="2"/>
      <c r="O163" s="2"/>
      <c r="P163" s="2"/>
      <c r="Q163" s="2"/>
      <c r="R163" s="2"/>
      <c r="S163" s="2"/>
      <c r="T163" s="2"/>
    </row>
    <row r="164" spans="1:20" x14ac:dyDescent="0.2">
      <c r="A164" s="2"/>
      <c r="B164" s="2"/>
      <c r="C164" s="2"/>
      <c r="D164" s="2"/>
      <c r="E164" s="2"/>
      <c r="F164" s="2"/>
      <c r="G164" s="2"/>
      <c r="H164" s="2"/>
      <c r="I164" s="2"/>
      <c r="J164" s="2"/>
      <c r="K164" s="2"/>
      <c r="L164" s="2"/>
      <c r="M164" s="2"/>
      <c r="N164" s="2"/>
      <c r="O164" s="2"/>
      <c r="P164" s="2"/>
      <c r="Q164" s="2"/>
      <c r="R164" s="2"/>
      <c r="S164" s="2"/>
      <c r="T164" s="2"/>
    </row>
    <row r="165" spans="1:20" x14ac:dyDescent="0.2">
      <c r="A165" s="2"/>
      <c r="B165" s="2"/>
      <c r="C165" s="2"/>
      <c r="D165" s="2"/>
      <c r="E165" s="2"/>
      <c r="F165" s="2"/>
      <c r="G165" s="2"/>
      <c r="H165" s="2"/>
      <c r="I165" s="2"/>
      <c r="J165" s="2"/>
      <c r="K165" s="2"/>
      <c r="L165" s="2"/>
      <c r="M165" s="2"/>
      <c r="N165" s="2"/>
      <c r="O165" s="2"/>
      <c r="P165" s="2"/>
      <c r="Q165" s="2"/>
      <c r="R165" s="2"/>
      <c r="S165" s="2"/>
      <c r="T165" s="2"/>
    </row>
    <row r="166" spans="1:20" x14ac:dyDescent="0.2">
      <c r="A166" s="2"/>
      <c r="B166" s="2"/>
      <c r="C166" s="2"/>
      <c r="D166" s="2"/>
      <c r="E166" s="2"/>
      <c r="F166" s="2"/>
      <c r="G166" s="2"/>
      <c r="H166" s="2"/>
      <c r="I166" s="2"/>
      <c r="J166" s="2"/>
      <c r="K166" s="2"/>
      <c r="L166" s="2"/>
      <c r="M166" s="2"/>
      <c r="N166" s="2"/>
      <c r="O166" s="2"/>
      <c r="P166" s="2"/>
      <c r="Q166" s="2"/>
      <c r="R166" s="2"/>
      <c r="S166" s="2"/>
      <c r="T166" s="2"/>
    </row>
    <row r="167" spans="1:20" x14ac:dyDescent="0.2">
      <c r="A167" s="2"/>
      <c r="B167" s="2"/>
      <c r="C167" s="2"/>
      <c r="D167" s="2"/>
      <c r="E167" s="2"/>
      <c r="F167" s="2"/>
      <c r="G167" s="2"/>
      <c r="H167" s="2"/>
      <c r="I167" s="2"/>
      <c r="J167" s="2"/>
      <c r="K167" s="2"/>
      <c r="L167" s="2"/>
      <c r="M167" s="2"/>
      <c r="N167" s="2"/>
      <c r="O167" s="2"/>
      <c r="P167" s="2"/>
      <c r="Q167" s="2"/>
      <c r="R167" s="2"/>
      <c r="S167" s="2"/>
      <c r="T167" s="2"/>
    </row>
    <row r="168" spans="1:20" x14ac:dyDescent="0.2">
      <c r="A168" s="2"/>
      <c r="B168" s="2"/>
      <c r="C168" s="2"/>
      <c r="D168" s="2"/>
      <c r="E168" s="2"/>
      <c r="F168" s="2"/>
      <c r="G168" s="2"/>
      <c r="H168" s="2"/>
      <c r="I168" s="2"/>
      <c r="J168" s="2"/>
      <c r="K168" s="2"/>
      <c r="L168" s="2"/>
      <c r="M168" s="2"/>
      <c r="N168" s="2"/>
      <c r="O168" s="2"/>
      <c r="P168" s="2"/>
      <c r="Q168" s="2"/>
      <c r="R168" s="2"/>
      <c r="S168" s="2"/>
      <c r="T168" s="2"/>
    </row>
    <row r="169" spans="1:20" x14ac:dyDescent="0.2">
      <c r="A169" s="2"/>
      <c r="B169" s="2"/>
      <c r="C169" s="2"/>
      <c r="D169" s="2"/>
      <c r="E169" s="2"/>
      <c r="F169" s="2"/>
      <c r="G169" s="2"/>
      <c r="H169" s="2"/>
      <c r="I169" s="2"/>
      <c r="J169" s="2"/>
      <c r="K169" s="2"/>
      <c r="L169" s="2"/>
      <c r="M169" s="2"/>
      <c r="N169" s="2"/>
      <c r="O169" s="2"/>
      <c r="P169" s="2"/>
      <c r="Q169" s="2"/>
      <c r="R169" s="2"/>
      <c r="S169" s="2"/>
      <c r="T169" s="2"/>
    </row>
    <row r="170" spans="1:20" x14ac:dyDescent="0.2">
      <c r="A170" s="2"/>
      <c r="B170" s="2"/>
      <c r="C170" s="2"/>
      <c r="D170" s="2"/>
      <c r="E170" s="2"/>
      <c r="F170" s="2"/>
      <c r="G170" s="2"/>
      <c r="H170" s="2"/>
      <c r="I170" s="2"/>
      <c r="J170" s="2"/>
      <c r="K170" s="2"/>
      <c r="L170" s="2"/>
      <c r="M170" s="2"/>
      <c r="N170" s="2"/>
      <c r="O170" s="2"/>
      <c r="P170" s="2"/>
      <c r="Q170" s="2"/>
      <c r="R170" s="2"/>
      <c r="S170" s="2"/>
      <c r="T170" s="2"/>
    </row>
    <row r="171" spans="1:20" x14ac:dyDescent="0.2">
      <c r="A171" s="2"/>
      <c r="B171" s="2"/>
      <c r="C171" s="2"/>
      <c r="D171" s="2"/>
      <c r="E171" s="2"/>
      <c r="F171" s="2"/>
      <c r="G171" s="2"/>
      <c r="H171" s="2"/>
      <c r="I171" s="2"/>
      <c r="J171" s="2"/>
      <c r="K171" s="2"/>
      <c r="L171" s="2"/>
      <c r="M171" s="2"/>
      <c r="N171" s="2"/>
      <c r="O171" s="2"/>
      <c r="P171" s="2"/>
      <c r="Q171" s="2"/>
      <c r="R171" s="2"/>
      <c r="S171" s="2"/>
      <c r="T171" s="2"/>
    </row>
    <row r="172" spans="1:20" x14ac:dyDescent="0.2">
      <c r="A172" s="2"/>
      <c r="B172" s="2"/>
      <c r="C172" s="2"/>
      <c r="D172" s="2"/>
      <c r="E172" s="2"/>
      <c r="F172" s="2"/>
      <c r="G172" s="2"/>
      <c r="H172" s="2"/>
      <c r="I172" s="2"/>
      <c r="J172" s="2"/>
      <c r="K172" s="2"/>
      <c r="L172" s="2"/>
      <c r="M172" s="2"/>
      <c r="N172" s="2"/>
      <c r="O172" s="2"/>
      <c r="P172" s="2"/>
      <c r="Q172" s="2"/>
      <c r="R172" s="2"/>
      <c r="S172" s="2"/>
      <c r="T172" s="2"/>
    </row>
    <row r="173" spans="1:20" x14ac:dyDescent="0.2">
      <c r="A173" s="2"/>
      <c r="B173" s="2"/>
      <c r="C173" s="2"/>
      <c r="D173" s="2"/>
      <c r="E173" s="2"/>
      <c r="F173" s="2"/>
      <c r="G173" s="2"/>
      <c r="H173" s="2"/>
      <c r="I173" s="2"/>
      <c r="J173" s="2"/>
      <c r="K173" s="2"/>
      <c r="L173" s="2"/>
      <c r="M173" s="2"/>
      <c r="N173" s="2"/>
      <c r="O173" s="2"/>
      <c r="P173" s="2"/>
      <c r="Q173" s="2"/>
      <c r="R173" s="2"/>
      <c r="S173" s="2"/>
      <c r="T173" s="2"/>
    </row>
    <row r="174" spans="1:20" x14ac:dyDescent="0.2">
      <c r="A174" s="2"/>
      <c r="B174" s="2"/>
      <c r="C174" s="2"/>
      <c r="D174" s="2"/>
      <c r="E174" s="2"/>
      <c r="F174" s="2"/>
      <c r="G174" s="2"/>
      <c r="H174" s="2"/>
      <c r="I174" s="2"/>
      <c r="J174" s="2"/>
      <c r="K174" s="2"/>
      <c r="L174" s="2"/>
      <c r="M174" s="2"/>
      <c r="N174" s="2"/>
      <c r="O174" s="2"/>
      <c r="P174" s="2"/>
      <c r="Q174" s="2"/>
      <c r="R174" s="2"/>
      <c r="S174" s="2"/>
      <c r="T174" s="2"/>
    </row>
    <row r="175" spans="1:20" x14ac:dyDescent="0.2">
      <c r="A175" s="2"/>
      <c r="B175" s="2"/>
      <c r="C175" s="2"/>
      <c r="D175" s="2"/>
      <c r="E175" s="2"/>
      <c r="F175" s="2"/>
      <c r="G175" s="2"/>
      <c r="H175" s="2"/>
      <c r="I175" s="2"/>
      <c r="J175" s="2"/>
      <c r="K175" s="2"/>
      <c r="L175" s="2"/>
      <c r="M175" s="2"/>
      <c r="N175" s="2"/>
      <c r="O175" s="2"/>
      <c r="P175" s="2"/>
      <c r="Q175" s="2"/>
      <c r="R175" s="2"/>
      <c r="S175" s="2"/>
      <c r="T175" s="2"/>
    </row>
    <row r="176" spans="1:20" x14ac:dyDescent="0.2">
      <c r="A176" s="2"/>
      <c r="B176" s="2"/>
      <c r="C176" s="2"/>
      <c r="D176" s="2"/>
      <c r="E176" s="2"/>
      <c r="F176" s="2"/>
      <c r="G176" s="2"/>
      <c r="H176" s="2"/>
      <c r="I176" s="2"/>
      <c r="J176" s="2"/>
      <c r="K176" s="2"/>
      <c r="L176" s="2"/>
      <c r="M176" s="2"/>
      <c r="N176" s="2"/>
      <c r="O176" s="2"/>
      <c r="P176" s="2"/>
      <c r="Q176" s="2"/>
      <c r="R176" s="2"/>
      <c r="S176" s="2"/>
      <c r="T176" s="2"/>
    </row>
    <row r="177" spans="1:20" x14ac:dyDescent="0.2">
      <c r="A177" s="2"/>
      <c r="B177" s="2"/>
      <c r="C177" s="2"/>
      <c r="D177" s="2"/>
      <c r="E177" s="2"/>
      <c r="F177" s="2"/>
      <c r="G177" s="2"/>
      <c r="H177" s="2"/>
      <c r="I177" s="2"/>
      <c r="J177" s="2"/>
      <c r="K177" s="2"/>
      <c r="L177" s="2"/>
      <c r="M177" s="2"/>
      <c r="N177" s="2"/>
      <c r="O177" s="2"/>
      <c r="P177" s="2"/>
      <c r="Q177" s="2"/>
      <c r="R177" s="2"/>
      <c r="S177" s="2"/>
      <c r="T177" s="2"/>
    </row>
    <row r="178" spans="1:20" x14ac:dyDescent="0.2">
      <c r="A178" s="2"/>
      <c r="B178" s="2"/>
      <c r="C178" s="2"/>
      <c r="D178" s="2"/>
      <c r="E178" s="2"/>
      <c r="F178" s="2"/>
      <c r="G178" s="2"/>
      <c r="H178" s="2"/>
      <c r="I178" s="2"/>
      <c r="J178" s="2"/>
      <c r="K178" s="2"/>
      <c r="L178" s="2"/>
      <c r="M178" s="2"/>
      <c r="N178" s="2"/>
      <c r="O178" s="2"/>
      <c r="P178" s="2"/>
      <c r="Q178" s="2"/>
      <c r="R178" s="2"/>
      <c r="S178" s="2"/>
      <c r="T178" s="2"/>
    </row>
    <row r="179" spans="1:20" x14ac:dyDescent="0.2">
      <c r="A179" s="2"/>
      <c r="B179" s="2"/>
      <c r="C179" s="2"/>
      <c r="D179" s="2"/>
      <c r="E179" s="2"/>
      <c r="F179" s="2"/>
      <c r="G179" s="2"/>
      <c r="H179" s="2"/>
      <c r="I179" s="2"/>
      <c r="J179" s="2"/>
      <c r="K179" s="2"/>
      <c r="L179" s="2"/>
      <c r="M179" s="2"/>
      <c r="N179" s="2"/>
      <c r="O179" s="2"/>
      <c r="P179" s="2"/>
      <c r="Q179" s="2"/>
      <c r="R179" s="2"/>
      <c r="S179" s="2"/>
      <c r="T179" s="2"/>
    </row>
    <row r="180" spans="1:20" x14ac:dyDescent="0.2">
      <c r="A180" s="2"/>
      <c r="B180" s="2"/>
      <c r="C180" s="2"/>
      <c r="D180" s="2"/>
      <c r="E180" s="2"/>
      <c r="F180" s="2"/>
      <c r="G180" s="2"/>
      <c r="H180" s="2"/>
      <c r="I180" s="2"/>
      <c r="J180" s="2"/>
      <c r="K180" s="2"/>
      <c r="L180" s="2"/>
      <c r="M180" s="2"/>
      <c r="N180" s="2"/>
      <c r="O180" s="2"/>
      <c r="P180" s="2"/>
      <c r="Q180" s="2"/>
      <c r="R180" s="2"/>
      <c r="S180" s="2"/>
      <c r="T180" s="2"/>
    </row>
    <row r="181" spans="1:20" x14ac:dyDescent="0.2">
      <c r="A181" s="2"/>
      <c r="B181" s="2"/>
      <c r="C181" s="2"/>
      <c r="D181" s="2"/>
      <c r="E181" s="2"/>
      <c r="F181" s="2"/>
      <c r="G181" s="2"/>
      <c r="H181" s="2"/>
      <c r="I181" s="2"/>
      <c r="J181" s="2"/>
      <c r="K181" s="2"/>
      <c r="L181" s="2"/>
      <c r="M181" s="2"/>
      <c r="N181" s="2"/>
      <c r="O181" s="2"/>
      <c r="P181" s="2"/>
      <c r="Q181" s="2"/>
      <c r="R181" s="2"/>
      <c r="S181" s="2"/>
      <c r="T181" s="2"/>
    </row>
    <row r="182" spans="1:20" x14ac:dyDescent="0.2">
      <c r="A182" s="2"/>
      <c r="B182" s="2"/>
      <c r="C182" s="2"/>
      <c r="D182" s="2"/>
      <c r="E182" s="2"/>
      <c r="F182" s="2"/>
      <c r="G182" s="2"/>
      <c r="H182" s="2"/>
      <c r="I182" s="2"/>
      <c r="J182" s="2"/>
      <c r="K182" s="2"/>
      <c r="L182" s="2"/>
      <c r="M182" s="2"/>
      <c r="N182" s="2"/>
      <c r="O182" s="2"/>
      <c r="P182" s="2"/>
      <c r="Q182" s="2"/>
      <c r="R182" s="2"/>
      <c r="S182" s="2"/>
      <c r="T182" s="2"/>
    </row>
    <row r="183" spans="1:20" x14ac:dyDescent="0.2">
      <c r="A183" s="2"/>
      <c r="B183" s="2"/>
      <c r="C183" s="2"/>
      <c r="D183" s="2"/>
      <c r="E183" s="2"/>
      <c r="F183" s="2"/>
      <c r="G183" s="2"/>
      <c r="H183" s="2"/>
      <c r="I183" s="2"/>
      <c r="J183" s="2"/>
      <c r="K183" s="2"/>
      <c r="L183" s="2"/>
      <c r="M183" s="2"/>
      <c r="N183" s="2"/>
      <c r="O183" s="2"/>
      <c r="P183" s="2"/>
      <c r="Q183" s="2"/>
      <c r="R183" s="2"/>
      <c r="S183" s="2"/>
      <c r="T183" s="2"/>
    </row>
    <row r="184" spans="1:20" x14ac:dyDescent="0.2">
      <c r="A184" s="2"/>
      <c r="B184" s="2"/>
      <c r="C184" s="2"/>
      <c r="D184" s="2"/>
      <c r="E184" s="2"/>
      <c r="F184" s="2"/>
      <c r="G184" s="2"/>
      <c r="H184" s="2"/>
      <c r="I184" s="2"/>
      <c r="J184" s="2"/>
      <c r="K184" s="2"/>
      <c r="L184" s="2"/>
      <c r="M184" s="2"/>
      <c r="N184" s="2"/>
      <c r="O184" s="2"/>
      <c r="P184" s="2"/>
      <c r="Q184" s="2"/>
      <c r="R184" s="2"/>
      <c r="S184" s="2"/>
      <c r="T184" s="2"/>
    </row>
    <row r="185" spans="1:20" x14ac:dyDescent="0.2">
      <c r="A185" s="2"/>
      <c r="B185" s="2"/>
      <c r="C185" s="2"/>
      <c r="D185" s="2"/>
      <c r="E185" s="2"/>
      <c r="F185" s="2"/>
      <c r="G185" s="2"/>
      <c r="H185" s="2"/>
      <c r="I185" s="2"/>
      <c r="J185" s="2"/>
      <c r="K185" s="2"/>
      <c r="L185" s="2"/>
      <c r="M185" s="2"/>
      <c r="N185" s="2"/>
      <c r="O185" s="2"/>
      <c r="P185" s="2"/>
      <c r="Q185" s="2"/>
      <c r="R185" s="2"/>
      <c r="S185" s="2"/>
      <c r="T185" s="2"/>
    </row>
    <row r="186" spans="1:20" x14ac:dyDescent="0.2">
      <c r="A186" s="2"/>
      <c r="B186" s="2"/>
      <c r="C186" s="2"/>
      <c r="D186" s="2"/>
      <c r="E186" s="2"/>
      <c r="F186" s="2"/>
      <c r="G186" s="2"/>
      <c r="H186" s="2"/>
      <c r="I186" s="2"/>
      <c r="J186" s="2"/>
      <c r="K186" s="2"/>
      <c r="L186" s="2"/>
      <c r="M186" s="2"/>
      <c r="N186" s="2"/>
      <c r="O186" s="2"/>
      <c r="P186" s="2"/>
      <c r="Q186" s="2"/>
      <c r="R186" s="2"/>
      <c r="S186" s="2"/>
      <c r="T186" s="2"/>
    </row>
    <row r="187" spans="1:20" x14ac:dyDescent="0.2">
      <c r="A187" s="2"/>
      <c r="B187" s="2"/>
      <c r="C187" s="2"/>
      <c r="D187" s="2"/>
      <c r="E187" s="2"/>
      <c r="F187" s="2"/>
      <c r="G187" s="2"/>
      <c r="H187" s="2"/>
      <c r="I187" s="2"/>
      <c r="J187" s="2"/>
      <c r="K187" s="2"/>
      <c r="L187" s="2"/>
      <c r="M187" s="2"/>
      <c r="N187" s="2"/>
      <c r="O187" s="2"/>
      <c r="P187" s="2"/>
      <c r="Q187" s="2"/>
      <c r="R187" s="2"/>
      <c r="S187" s="2"/>
      <c r="T187" s="2"/>
    </row>
    <row r="188" spans="1:20" x14ac:dyDescent="0.2">
      <c r="A188" s="2"/>
      <c r="B188" s="2"/>
      <c r="C188" s="2"/>
      <c r="D188" s="2"/>
      <c r="E188" s="2"/>
      <c r="F188" s="2"/>
      <c r="G188" s="2"/>
      <c r="H188" s="2"/>
      <c r="I188" s="2"/>
      <c r="J188" s="2"/>
      <c r="K188" s="2"/>
      <c r="L188" s="2"/>
      <c r="M188" s="2"/>
      <c r="N188" s="2"/>
      <c r="O188" s="2"/>
      <c r="P188" s="2"/>
      <c r="Q188" s="2"/>
      <c r="R188" s="2"/>
      <c r="S188" s="2"/>
      <c r="T188" s="2"/>
    </row>
    <row r="189" spans="1:20" x14ac:dyDescent="0.2">
      <c r="A189" s="2"/>
      <c r="B189" s="2"/>
      <c r="C189" s="2"/>
      <c r="D189" s="2"/>
      <c r="E189" s="2"/>
      <c r="F189" s="2"/>
      <c r="G189" s="2"/>
      <c r="H189" s="2"/>
      <c r="I189" s="2"/>
      <c r="J189" s="2"/>
      <c r="K189" s="2"/>
      <c r="L189" s="2"/>
      <c r="M189" s="2"/>
      <c r="N189" s="2"/>
      <c r="O189" s="2"/>
      <c r="P189" s="2"/>
      <c r="Q189" s="2"/>
      <c r="R189" s="2"/>
      <c r="S189" s="2"/>
      <c r="T189" s="2"/>
    </row>
    <row r="190" spans="1:20" x14ac:dyDescent="0.2">
      <c r="A190" s="2"/>
      <c r="B190" s="2"/>
      <c r="C190" s="2"/>
      <c r="D190" s="2"/>
      <c r="E190" s="2"/>
      <c r="F190" s="2"/>
      <c r="G190" s="2"/>
      <c r="H190" s="2"/>
      <c r="I190" s="2"/>
      <c r="J190" s="2"/>
      <c r="K190" s="2"/>
      <c r="L190" s="2"/>
      <c r="M190" s="2"/>
      <c r="N190" s="2"/>
      <c r="O190" s="2"/>
      <c r="P190" s="2"/>
      <c r="Q190" s="2"/>
      <c r="R190" s="2"/>
      <c r="S190" s="2"/>
      <c r="T190" s="2"/>
    </row>
    <row r="191" spans="1:20" x14ac:dyDescent="0.2">
      <c r="A191" s="2"/>
      <c r="B191" s="2"/>
      <c r="C191" s="2"/>
      <c r="D191" s="2"/>
      <c r="E191" s="2"/>
      <c r="F191" s="2"/>
      <c r="G191" s="2"/>
      <c r="H191" s="2"/>
      <c r="I191" s="2"/>
      <c r="J191" s="2"/>
      <c r="K191" s="2"/>
      <c r="L191" s="2"/>
      <c r="M191" s="2"/>
      <c r="N191" s="2"/>
      <c r="O191" s="2"/>
      <c r="P191" s="2"/>
      <c r="Q191" s="2"/>
      <c r="R191" s="2"/>
      <c r="S191" s="2"/>
      <c r="T191" s="2"/>
    </row>
    <row r="192" spans="1:20" x14ac:dyDescent="0.2">
      <c r="A192" s="2"/>
      <c r="B192" s="2"/>
      <c r="C192" s="2"/>
      <c r="D192" s="2"/>
      <c r="E192" s="2"/>
      <c r="F192" s="2"/>
      <c r="G192" s="2"/>
      <c r="H192" s="2"/>
      <c r="I192" s="2"/>
      <c r="J192" s="2"/>
      <c r="K192" s="2"/>
      <c r="L192" s="2"/>
      <c r="M192" s="2"/>
      <c r="N192" s="2"/>
      <c r="O192" s="2"/>
      <c r="P192" s="2"/>
      <c r="Q192" s="2"/>
      <c r="R192" s="2"/>
      <c r="S192" s="2"/>
      <c r="T192" s="2"/>
    </row>
    <row r="193" spans="1:20" x14ac:dyDescent="0.2">
      <c r="A193" s="2"/>
      <c r="B193" s="2"/>
      <c r="C193" s="2"/>
      <c r="D193" s="2"/>
      <c r="E193" s="2"/>
      <c r="F193" s="2"/>
      <c r="G193" s="2"/>
      <c r="H193" s="2"/>
      <c r="I193" s="2"/>
      <c r="J193" s="2"/>
      <c r="K193" s="2"/>
      <c r="L193" s="2"/>
      <c r="M193" s="2"/>
      <c r="N193" s="2"/>
      <c r="O193" s="2"/>
      <c r="P193" s="2"/>
      <c r="Q193" s="2"/>
      <c r="R193" s="2"/>
      <c r="S193" s="2"/>
      <c r="T193" s="2"/>
    </row>
    <row r="194" spans="1:20" x14ac:dyDescent="0.2">
      <c r="A194" s="2"/>
      <c r="B194" s="2"/>
      <c r="C194" s="2"/>
      <c r="D194" s="2"/>
      <c r="E194" s="2"/>
      <c r="F194" s="2"/>
      <c r="G194" s="2"/>
      <c r="H194" s="2"/>
      <c r="I194" s="2"/>
      <c r="J194" s="2"/>
      <c r="K194" s="2"/>
      <c r="L194" s="2"/>
      <c r="M194" s="2"/>
      <c r="N194" s="2"/>
      <c r="O194" s="2"/>
      <c r="P194" s="2"/>
      <c r="Q194" s="2"/>
      <c r="R194" s="2"/>
      <c r="S194" s="2"/>
      <c r="T194" s="2"/>
    </row>
    <row r="195" spans="1:20" x14ac:dyDescent="0.2">
      <c r="A195" s="2"/>
      <c r="B195" s="2"/>
      <c r="C195" s="2"/>
      <c r="D195" s="2"/>
      <c r="E195" s="2"/>
      <c r="F195" s="2"/>
      <c r="G195" s="2"/>
      <c r="H195" s="2"/>
      <c r="I195" s="2"/>
      <c r="J195" s="2"/>
      <c r="K195" s="2"/>
      <c r="L195" s="2"/>
      <c r="M195" s="2"/>
      <c r="N195" s="2"/>
      <c r="O195" s="2"/>
      <c r="P195" s="2"/>
      <c r="Q195" s="2"/>
      <c r="R195" s="2"/>
      <c r="S195" s="2"/>
      <c r="T195" s="2"/>
    </row>
    <row r="196" spans="1:20" x14ac:dyDescent="0.2">
      <c r="A196" s="2"/>
      <c r="B196" s="2"/>
      <c r="C196" s="2"/>
      <c r="D196" s="2"/>
      <c r="E196" s="2"/>
      <c r="F196" s="2"/>
      <c r="G196" s="2"/>
      <c r="H196" s="2"/>
      <c r="I196" s="2"/>
      <c r="J196" s="2"/>
      <c r="K196" s="2"/>
      <c r="L196" s="2"/>
      <c r="M196" s="2"/>
      <c r="N196" s="2"/>
      <c r="O196" s="2"/>
      <c r="P196" s="2"/>
      <c r="Q196" s="2"/>
      <c r="R196" s="2"/>
      <c r="S196" s="2"/>
      <c r="T196" s="2"/>
    </row>
    <row r="197" spans="1:20" x14ac:dyDescent="0.2">
      <c r="A197" s="2"/>
      <c r="B197" s="2"/>
      <c r="C197" s="2"/>
      <c r="D197" s="2"/>
      <c r="E197" s="2"/>
      <c r="F197" s="2"/>
      <c r="G197" s="2"/>
      <c r="H197" s="2"/>
      <c r="I197" s="2"/>
      <c r="J197" s="2"/>
      <c r="K197" s="2"/>
      <c r="L197" s="2"/>
      <c r="M197" s="2"/>
      <c r="N197" s="2"/>
      <c r="O197" s="2"/>
      <c r="P197" s="2"/>
      <c r="Q197" s="2"/>
      <c r="R197" s="2"/>
      <c r="S197" s="2"/>
      <c r="T197" s="2"/>
    </row>
    <row r="198" spans="1:20" x14ac:dyDescent="0.2">
      <c r="A198" s="2"/>
      <c r="B198" s="2"/>
      <c r="C198" s="2"/>
      <c r="D198" s="2"/>
      <c r="E198" s="2"/>
      <c r="F198" s="2"/>
      <c r="G198" s="2"/>
      <c r="H198" s="2"/>
      <c r="I198" s="2"/>
      <c r="J198" s="2"/>
      <c r="K198" s="2"/>
      <c r="L198" s="2"/>
      <c r="M198" s="2"/>
      <c r="N198" s="2"/>
      <c r="O198" s="2"/>
      <c r="P198" s="2"/>
      <c r="Q198" s="2"/>
      <c r="R198" s="2"/>
      <c r="S198" s="2"/>
      <c r="T198" s="2"/>
    </row>
    <row r="199" spans="1:20" x14ac:dyDescent="0.2">
      <c r="A199" s="2"/>
      <c r="B199" s="2"/>
      <c r="C199" s="2"/>
      <c r="D199" s="2"/>
      <c r="E199" s="2"/>
      <c r="F199" s="2"/>
      <c r="G199" s="2"/>
      <c r="H199" s="2"/>
      <c r="I199" s="2"/>
      <c r="J199" s="2"/>
      <c r="K199" s="2"/>
      <c r="L199" s="2"/>
      <c r="M199" s="2"/>
      <c r="N199" s="2"/>
      <c r="O199" s="2"/>
      <c r="P199" s="2"/>
      <c r="Q199" s="2"/>
      <c r="R199" s="2"/>
      <c r="S199" s="2"/>
      <c r="T199" s="2"/>
    </row>
    <row r="200" spans="1:20" x14ac:dyDescent="0.2">
      <c r="A200" s="2"/>
      <c r="B200" s="2"/>
      <c r="C200" s="2"/>
      <c r="D200" s="2"/>
      <c r="E200" s="2"/>
      <c r="F200" s="2"/>
      <c r="G200" s="2"/>
      <c r="H200" s="2"/>
      <c r="I200" s="2"/>
      <c r="J200" s="2"/>
      <c r="K200" s="2"/>
      <c r="L200" s="2"/>
      <c r="M200" s="2"/>
      <c r="N200" s="2"/>
      <c r="O200" s="2"/>
      <c r="P200" s="2"/>
      <c r="Q200" s="2"/>
      <c r="R200" s="2"/>
      <c r="S200" s="2"/>
      <c r="T200" s="2"/>
    </row>
    <row r="201" spans="1:20" x14ac:dyDescent="0.2">
      <c r="A201" s="2"/>
      <c r="B201" s="2"/>
      <c r="C201" s="2"/>
      <c r="D201" s="2"/>
      <c r="E201" s="2"/>
      <c r="F201" s="2"/>
      <c r="G201" s="2"/>
      <c r="H201" s="2"/>
      <c r="I201" s="2"/>
      <c r="J201" s="2"/>
      <c r="K201" s="2"/>
      <c r="L201" s="2"/>
      <c r="M201" s="2"/>
      <c r="N201" s="2"/>
      <c r="O201" s="2"/>
      <c r="P201" s="2"/>
      <c r="Q201" s="2"/>
      <c r="R201" s="2"/>
      <c r="S201" s="2"/>
      <c r="T201" s="2"/>
    </row>
    <row r="202" spans="1:20" x14ac:dyDescent="0.2">
      <c r="A202" s="2"/>
      <c r="B202" s="2"/>
      <c r="C202" s="2"/>
      <c r="D202" s="2"/>
      <c r="E202" s="2"/>
      <c r="F202" s="2"/>
      <c r="G202" s="2"/>
      <c r="H202" s="2"/>
      <c r="I202" s="2"/>
      <c r="J202" s="2"/>
      <c r="K202" s="2"/>
      <c r="L202" s="2"/>
      <c r="M202" s="2"/>
      <c r="N202" s="2"/>
      <c r="O202" s="2"/>
      <c r="P202" s="2"/>
      <c r="Q202" s="2"/>
      <c r="R202" s="2"/>
      <c r="S202" s="2"/>
      <c r="T202" s="2"/>
    </row>
    <row r="203" spans="1:20" x14ac:dyDescent="0.2">
      <c r="A203" s="2"/>
      <c r="B203" s="2"/>
      <c r="C203" s="2"/>
      <c r="D203" s="2"/>
      <c r="E203" s="2"/>
      <c r="F203" s="2"/>
      <c r="G203" s="2"/>
      <c r="H203" s="2"/>
      <c r="I203" s="2"/>
      <c r="J203" s="2"/>
      <c r="K203" s="2"/>
      <c r="L203" s="2"/>
      <c r="M203" s="2"/>
      <c r="N203" s="2"/>
      <c r="O203" s="2"/>
      <c r="P203" s="2"/>
      <c r="Q203" s="2"/>
      <c r="R203" s="2"/>
      <c r="S203" s="2"/>
      <c r="T203" s="2"/>
    </row>
    <row r="204" spans="1:20" x14ac:dyDescent="0.2">
      <c r="A204" s="2"/>
      <c r="B204" s="2"/>
      <c r="C204" s="2"/>
      <c r="D204" s="2"/>
      <c r="E204" s="2"/>
      <c r="F204" s="2"/>
      <c r="G204" s="2"/>
      <c r="H204" s="2"/>
      <c r="I204" s="2"/>
      <c r="J204" s="2"/>
      <c r="K204" s="2"/>
      <c r="L204" s="2"/>
      <c r="M204" s="2"/>
      <c r="N204" s="2"/>
      <c r="O204" s="2"/>
      <c r="P204" s="2"/>
      <c r="Q204" s="2"/>
      <c r="R204" s="2"/>
      <c r="S204" s="2"/>
      <c r="T204" s="2"/>
    </row>
    <row r="205" spans="1:20" x14ac:dyDescent="0.2">
      <c r="A205" s="2"/>
      <c r="B205" s="2"/>
      <c r="C205" s="2"/>
      <c r="D205" s="2"/>
      <c r="E205" s="2"/>
      <c r="F205" s="2"/>
      <c r="G205" s="2"/>
      <c r="H205" s="2"/>
      <c r="I205" s="2"/>
      <c r="J205" s="2"/>
      <c r="K205" s="2"/>
      <c r="L205" s="2"/>
      <c r="M205" s="2"/>
      <c r="N205" s="2"/>
      <c r="O205" s="2"/>
      <c r="P205" s="2"/>
      <c r="Q205" s="2"/>
      <c r="R205" s="2"/>
      <c r="S205" s="2"/>
      <c r="T205" s="2"/>
    </row>
    <row r="206" spans="1:20" x14ac:dyDescent="0.2">
      <c r="A206" s="2"/>
      <c r="B206" s="2"/>
      <c r="C206" s="2"/>
      <c r="D206" s="2"/>
      <c r="E206" s="2"/>
      <c r="F206" s="2"/>
      <c r="G206" s="2"/>
      <c r="H206" s="2"/>
      <c r="I206" s="2"/>
      <c r="J206" s="2"/>
      <c r="K206" s="2"/>
      <c r="L206" s="2"/>
      <c r="M206" s="2"/>
      <c r="N206" s="2"/>
      <c r="O206" s="2"/>
      <c r="P206" s="2"/>
      <c r="Q206" s="2"/>
      <c r="R206" s="2"/>
      <c r="S206" s="2"/>
      <c r="T206" s="2"/>
    </row>
    <row r="207" spans="1:20" x14ac:dyDescent="0.2">
      <c r="A207" s="2"/>
      <c r="B207" s="2"/>
      <c r="C207" s="2"/>
      <c r="D207" s="2"/>
      <c r="E207" s="2"/>
      <c r="F207" s="2"/>
      <c r="G207" s="2"/>
      <c r="H207" s="2"/>
      <c r="I207" s="2"/>
      <c r="J207" s="2"/>
      <c r="K207" s="2"/>
      <c r="L207" s="2"/>
      <c r="M207" s="2"/>
      <c r="N207" s="2"/>
      <c r="O207" s="2"/>
      <c r="P207" s="2"/>
      <c r="Q207" s="2"/>
      <c r="R207" s="2"/>
      <c r="S207" s="2"/>
      <c r="T207" s="2"/>
    </row>
    <row r="208" spans="1:20" x14ac:dyDescent="0.2">
      <c r="A208" s="2"/>
      <c r="B208" s="2"/>
      <c r="C208" s="2"/>
      <c r="D208" s="2"/>
      <c r="E208" s="2"/>
      <c r="F208" s="2"/>
      <c r="G208" s="2"/>
      <c r="H208" s="2"/>
      <c r="I208" s="2"/>
      <c r="J208" s="2"/>
      <c r="K208" s="2"/>
      <c r="L208" s="2"/>
      <c r="M208" s="2"/>
      <c r="N208" s="2"/>
      <c r="O208" s="2"/>
      <c r="P208" s="2"/>
      <c r="Q208" s="2"/>
      <c r="R208" s="2"/>
      <c r="S208" s="2"/>
      <c r="T208" s="2"/>
    </row>
    <row r="209" spans="1:20" x14ac:dyDescent="0.2">
      <c r="A209" s="2"/>
      <c r="B209" s="2"/>
      <c r="C209" s="2"/>
      <c r="D209" s="2"/>
      <c r="E209" s="2"/>
      <c r="F209" s="2"/>
      <c r="G209" s="2"/>
      <c r="H209" s="2"/>
      <c r="I209" s="2"/>
      <c r="J209" s="2"/>
      <c r="K209" s="2"/>
      <c r="L209" s="2"/>
      <c r="M209" s="2"/>
      <c r="N209" s="2"/>
      <c r="O209" s="2"/>
      <c r="P209" s="2"/>
      <c r="Q209" s="2"/>
      <c r="R209" s="2"/>
      <c r="S209" s="2"/>
      <c r="T209" s="2"/>
    </row>
    <row r="210" spans="1:20" x14ac:dyDescent="0.2">
      <c r="A210" s="2"/>
      <c r="B210" s="2"/>
      <c r="C210" s="2"/>
      <c r="D210" s="2"/>
      <c r="E210" s="2"/>
      <c r="F210" s="2"/>
      <c r="G210" s="2"/>
      <c r="H210" s="2"/>
      <c r="I210" s="2"/>
      <c r="J210" s="2"/>
      <c r="K210" s="2"/>
      <c r="L210" s="2"/>
      <c r="M210" s="2"/>
      <c r="N210" s="2"/>
      <c r="O210" s="2"/>
      <c r="P210" s="2"/>
      <c r="Q210" s="2"/>
      <c r="R210" s="2"/>
      <c r="S210" s="2"/>
      <c r="T210" s="2"/>
    </row>
    <row r="211" spans="1:20" x14ac:dyDescent="0.2">
      <c r="A211" s="2"/>
      <c r="B211" s="2"/>
      <c r="C211" s="2"/>
      <c r="D211" s="2"/>
      <c r="E211" s="2"/>
      <c r="F211" s="2"/>
      <c r="G211" s="2"/>
      <c r="H211" s="2"/>
      <c r="I211" s="2"/>
      <c r="J211" s="2"/>
      <c r="K211" s="2"/>
      <c r="L211" s="2"/>
      <c r="M211" s="2"/>
      <c r="N211" s="2"/>
      <c r="O211" s="2"/>
      <c r="P211" s="2"/>
      <c r="Q211" s="2"/>
      <c r="R211" s="2"/>
      <c r="S211" s="2"/>
      <c r="T211" s="2"/>
    </row>
    <row r="212" spans="1:20" x14ac:dyDescent="0.2">
      <c r="A212" s="2"/>
      <c r="B212" s="2"/>
      <c r="C212" s="2"/>
      <c r="D212" s="2"/>
      <c r="E212" s="2"/>
      <c r="F212" s="2"/>
      <c r="G212" s="2"/>
      <c r="H212" s="2"/>
      <c r="I212" s="2"/>
      <c r="J212" s="2"/>
      <c r="K212" s="2"/>
      <c r="L212" s="2"/>
      <c r="M212" s="2"/>
      <c r="N212" s="2"/>
      <c r="O212" s="2"/>
      <c r="P212" s="2"/>
      <c r="Q212" s="2"/>
      <c r="R212" s="2"/>
      <c r="S212" s="2"/>
      <c r="T212" s="2"/>
    </row>
    <row r="213" spans="1:20" x14ac:dyDescent="0.2">
      <c r="A213" s="2"/>
      <c r="B213" s="2"/>
      <c r="C213" s="2"/>
      <c r="D213" s="2"/>
      <c r="E213" s="2"/>
      <c r="F213" s="2"/>
      <c r="G213" s="2"/>
      <c r="H213" s="2"/>
      <c r="I213" s="2"/>
      <c r="J213" s="2"/>
      <c r="K213" s="2"/>
      <c r="L213" s="2"/>
      <c r="M213" s="2"/>
      <c r="N213" s="2"/>
      <c r="O213" s="2"/>
      <c r="P213" s="2"/>
      <c r="Q213" s="2"/>
      <c r="R213" s="2"/>
      <c r="S213" s="2"/>
      <c r="T213" s="2"/>
    </row>
  </sheetData>
  <sheetProtection password="E075" sheet="1" objects="1" scenarios="1"/>
  <dataValidations count="22">
    <dataValidation type="decimal" allowBlank="1" showInputMessage="1" showErrorMessage="1" promptTitle="Desired Energy Cost" prompt="Enter the amount in dollars of the desired energy cost for each ac-in of irrigation cost. Allowed energy cost range is from $1-$6." sqref="B33" xr:uid="{00000000-0002-0000-0100-000000000000}">
      <formula1>1</formula1>
      <formula2>6</formula2>
    </dataValidation>
    <dataValidation type="list" allowBlank="1" showInputMessage="1" showErrorMessage="1" promptTitle="Gear Head Efficiency" prompt="Click on the pull down arrow to select gear head efficiency._x000a__x000a_A direct, shaft-drive gear head will have a 95% efficiency._x000a_ _x000a_A belt driven gear head will have a 90% efficiency." sqref="E26:G26 B26" xr:uid="{00000000-0002-0000-0100-000001000000}">
      <formula1>$E$106:$E$107</formula1>
    </dataValidation>
    <dataValidation type="list" allowBlank="1" showInputMessage="1" showErrorMessage="1" promptTitle="Pump Efficiency" prompt="Click on the pull down arrow to select a pump efficiency.  _x000a__x000a_Older pumps will have a lower efficiency and newer pumps will have a higher efficiency_x000a__x000a_The range is 50 to 80% and the average is about 65%." sqref="E25:G25 B25" xr:uid="{00000000-0002-0000-0100-000002000000}">
      <formula1>$D$106:$D$112</formula1>
    </dataValidation>
    <dataValidation type="list" allowBlank="1" showInputMessage="1" showErrorMessage="1" promptTitle="Engine Efficiency" prompt="Click on the pull down arrow to choose a value for engine efficiency. _x000a__x000a_Newer, properly sized engines will have a higher value and older engines will have a lower value._x000a__x000a_The range is 10 to 14 and the average is about 12." sqref="G24" xr:uid="{00000000-0002-0000-0100-000003000000}">
      <formula1>$A$108:$A$116</formula1>
    </dataValidation>
    <dataValidation type="list" allowBlank="1" showInputMessage="1" showErrorMessage="1" promptTitle="Routine Mantenance" prompt="Click on the pull down arrow to select your input.  _x000a__x000a_Older systems will have a higher number and newer systems will have a lower number. _x000a__x000a_The range is 10 to 20% and the average is about 15%." sqref="G29 B29" xr:uid="{00000000-0002-0000-0100-000004000000}">
      <formula1>$F$115:$F$125</formula1>
    </dataValidation>
    <dataValidation type="decimal" allowBlank="1" showInputMessage="1" showErrorMessage="1" errorTitle="Out of Range" error="Acceptable range: $1.00-$4.00" promptTitle="Acceptable Values" prompt="The allowed range for this input is $1.00 - $4.00" sqref="G23" xr:uid="{00000000-0002-0000-0100-000005000000}">
      <formula1>1</formula1>
      <formula2>4</formula2>
    </dataValidation>
    <dataValidation type="list" allowBlank="1" showInputMessage="1" showErrorMessage="1" promptTitle="Routine Mantenance" prompt="Click on the pull down arrow to select your input.  _x000a__x000a_Older systems will have a higher number and newer systems will have a lower number. _x000a__x000a_The range is 10 to 15% and the average is about 12%." sqref="E29:F29" xr:uid="{00000000-0002-0000-0100-000006000000}">
      <formula1>$F$115:$F$120</formula1>
    </dataValidation>
    <dataValidation type="list" allowBlank="1" showInputMessage="1" showErrorMessage="1" promptTitle="Engine Efficiency" prompt="Cllick on the pull down arrow to choose a value for engine efficiency. _x000a__x000a_Newer, properly sized engines will have a higher value and older engines will have a lower value._x000a__x000a_The range is 9 to 11 and the average is about 10." sqref="F24" xr:uid="{00000000-0002-0000-0100-000007000000}">
      <formula1>$A$106:$A$110</formula1>
    </dataValidation>
    <dataValidation type="decimal" allowBlank="1" showInputMessage="1" showErrorMessage="1" errorTitle="Out of Range" error="Acceptable range: $0.50-$4.00" promptTitle="Acceptable Values" prompt="The allowed range for this input is $0.50 - $4.00" sqref="F23" xr:uid="{00000000-0002-0000-0100-000008000000}">
      <formula1>0.5</formula1>
      <formula2>4</formula2>
    </dataValidation>
    <dataValidation type="list" allowBlank="1" showInputMessage="1" showErrorMessage="1" promptTitle="Engine Efficiency" prompt="Click on the pull down arrow to choose a value for engine efficiency. _x000a__x000a_Newer, properly sized engines will have a higher value and older engines will have a lower value._x000a__x000a_The range is 9 to 11 and the average is about 10." sqref="E24" xr:uid="{00000000-0002-0000-0100-000009000000}">
      <formula1>$A$106:$A$110</formula1>
    </dataValidation>
    <dataValidation type="decimal" allowBlank="1" showInputMessage="1" showErrorMessage="1" errorTitle="Out of Range" error="Acceptable range: $0.40-$3.00" promptTitle="Acceptable Values" prompt="The allowed range for this input is $0.4 - $3.00" sqref="E23" xr:uid="{00000000-0002-0000-0100-00000A000000}">
      <formula1>0.4</formula1>
      <formula2>3</formula2>
    </dataValidation>
    <dataValidation type="list" allowBlank="1" showInputMessage="1" showErrorMessage="1" promptTitle="Pump Efficiency" prompt="Click on the pull down arrow to select a pump efficiency._x000a__x000a_Older pumps will have a lower efficiency and newer pumps will have a higher efficiency. _x000a__x000a_The range is 50 to 80% and the average is about 65%." sqref="D25" xr:uid="{00000000-0002-0000-0100-00000B000000}">
      <formula1>$D$106:$D$112</formula1>
    </dataValidation>
    <dataValidation type="list" allowBlank="1" showInputMessage="1" showErrorMessage="1" promptTitle="Motor Efficiency" prompt="Click on the pull down arrow to select a value for motor efficiency._x000a__x000a_Newer, properly sized motors will have a higher value and older motors will have a lower value. _x000a__x000a_The range is 1.0 to 1.1 and the average is about 1.05." sqref="D24" xr:uid="{00000000-0002-0000-0100-00000C000000}">
      <formula1>$H$106:$H$108</formula1>
    </dataValidation>
    <dataValidation type="list" allowBlank="1" showInputMessage="1" showErrorMessage="1" promptTitle="Routine Mantenance" prompt="Click on the pull down arrow to select your input.  _x000a__x000a_Older systems will have a higher number and newer systems will have a lower number.  _x000a__x000a_The range is 3  to 10% and the average is about 7%." sqref="D29" xr:uid="{00000000-0002-0000-0100-00000D000000}">
      <formula1>$F$108:$F$115</formula1>
    </dataValidation>
    <dataValidation type="decimal" allowBlank="1" showInputMessage="1" showErrorMessage="1" errorTitle="Out of Range" error="Acceptable range: $0.05-$0.22" promptTitle="Acceptable Values" prompt="The allowed range for this input is $0.05 - $0.22" sqref="D23" xr:uid="{00000000-0002-0000-0100-00000E000000}">
      <formula1>0.05</formula1>
      <formula2>0.22</formula2>
    </dataValidation>
    <dataValidation type="list" allowBlank="1" showInputMessage="1" showErrorMessage="1" promptTitle="Pump Efficiency" prompt="Click on the pull down arrow to select a pump efficiency.  _x000a__x000a_Older pumps will have a lower efficiency and newer pumps will have a higher efficiency._x000a__x000a_The range is 50 to 80% and the average is about 65%." sqref="C25" xr:uid="{00000000-0002-0000-0100-00000F000000}">
      <formula1>$D$106:$D$112</formula1>
    </dataValidation>
    <dataValidation type="list" allowBlank="1" showInputMessage="1" showErrorMessage="1" promptTitle="Gear Head Efficiency" prompt="Click the pull down arrow to select input. _x000a_For a vertical motor, select 100% for gear head efficiency._x000a_For horizontal electric motor with direct, shaft- drive to gear head select 95%._x000a_For a horizontal electric motor with belt drive to gear head use 90%." sqref="C26" xr:uid="{00000000-0002-0000-0100-000010000000}">
      <formula1>$E$106:$E$108</formula1>
    </dataValidation>
    <dataValidation type="list" allowBlank="1" showInputMessage="1" showErrorMessage="1" promptTitle="Motor Efficiency" prompt="Click on the pull down arrow to select a value for motor efficiency. _x000a__x000a_Newer, properly sized motors will have a higher value and older motors will have a lower value. _x000a__x000a_The range is 1.0 to 1.3 and the average is about 1.15." sqref="C24" xr:uid="{00000000-0002-0000-0100-000011000000}">
      <formula1>$H$106:$H$112</formula1>
    </dataValidation>
    <dataValidation type="list" allowBlank="1" showInputMessage="1" showErrorMessage="1" promptTitle="Routine Mantenance" prompt="Clilck on the pull down arrow to select your input. _x000a__x000a_Older systems will have a higher number and newer systems will have a lower number.  _x000a__x000a_The range is 1 to 5% and the average is about 3%." sqref="C29" xr:uid="{00000000-0002-0000-0100-000012000000}">
      <formula1>$F$106:$F$110</formula1>
    </dataValidation>
    <dataValidation type="decimal" allowBlank="1" showInputMessage="1" showErrorMessage="1" errorTitle="Out of Range" error="Acceptable range: $0.05-$0.22" promptTitle="Acceptable Values" prompt="The  allowed range for this input is $0.05 - $0.22" sqref="C23" xr:uid="{00000000-0002-0000-0100-000013000000}">
      <formula1>0.05</formula1>
      <formula2>0.22</formula2>
    </dataValidation>
    <dataValidation type="list" allowBlank="1" showInputMessage="1" showErrorMessage="1" promptTitle="Engine Efficiency" prompt="Click on the pull down arrow to choose a value for engine efficiency. _x000a__x000a_Newer, properly sized engines will have a higher value and older engines will have a lower value._x000a__x000a_The range is 15 to 20 and the average is about 18." sqref="B24" xr:uid="{00000000-0002-0000-0100-000014000000}">
      <formula1>$A$118:$A$128</formula1>
    </dataValidation>
    <dataValidation type="decimal" allowBlank="1" showInputMessage="1" showErrorMessage="1" errorTitle="Out of Range" error="Acceptable range: $.50-$5.00" promptTitle="Acceptable values" prompt="The allowed range for this input is $0.50 - $5.00" sqref="B23" xr:uid="{00000000-0002-0000-0100-000015000000}">
      <formula1>0.5</formula1>
      <formula2>5</formula2>
    </dataValidation>
  </dataValidations>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G307"/>
  <sheetViews>
    <sheetView workbookViewId="0"/>
  </sheetViews>
  <sheetFormatPr defaultColWidth="8.7109375" defaultRowHeight="12.75" x14ac:dyDescent="0.2"/>
  <cols>
    <col min="1" max="1" width="19.7109375" customWidth="1"/>
    <col min="2" max="2" width="22.140625" customWidth="1"/>
    <col min="3" max="3" width="9.7109375" customWidth="1"/>
    <col min="4" max="4" width="9.140625" customWidth="1"/>
    <col min="5" max="5" width="9.7109375" customWidth="1"/>
    <col min="6" max="6" width="10.28515625" customWidth="1"/>
    <col min="7" max="7" width="8.42578125" customWidth="1"/>
    <col min="8" max="8" width="12" customWidth="1"/>
    <col min="9" max="9" width="9.7109375" customWidth="1"/>
    <col min="10" max="10" width="8.7109375" customWidth="1"/>
    <col min="11" max="11" width="9.42578125" customWidth="1"/>
    <col min="12" max="12" width="10.7109375" customWidth="1"/>
    <col min="13" max="13" width="9.7109375" customWidth="1"/>
    <col min="14" max="14" width="9.140625" customWidth="1"/>
    <col min="15" max="15" width="12.140625" customWidth="1"/>
    <col min="16" max="16" width="13.7109375" customWidth="1"/>
    <col min="17" max="17" width="9.140625" customWidth="1"/>
    <col min="18" max="18" width="12" bestFit="1" customWidth="1"/>
    <col min="19" max="19" width="10.7109375" customWidth="1"/>
    <col min="20" max="20" width="10.140625" customWidth="1"/>
    <col min="21" max="21" width="12.28515625" customWidth="1"/>
    <col min="22" max="22" width="11.42578125" customWidth="1"/>
    <col min="23" max="23" width="9" customWidth="1"/>
    <col min="24" max="24" width="9.7109375" customWidth="1"/>
    <col min="25" max="25" width="12.140625" customWidth="1"/>
    <col min="26" max="27" width="8" customWidth="1"/>
    <col min="28" max="28" width="12.140625" customWidth="1"/>
    <col min="29" max="29" width="11.140625" customWidth="1"/>
    <col min="30" max="30" width="9.140625" customWidth="1"/>
    <col min="31" max="31" width="10.28515625" customWidth="1"/>
    <col min="32" max="33" width="8.42578125" customWidth="1"/>
    <col min="34" max="34" width="10.7109375" customWidth="1"/>
    <col min="35" max="35" width="10.42578125" customWidth="1"/>
    <col min="37" max="37" width="12" bestFit="1" customWidth="1"/>
    <col min="38" max="38" width="10.7109375" customWidth="1"/>
    <col min="39" max="39" width="10.140625" customWidth="1"/>
    <col min="40" max="40" width="12.28515625" customWidth="1"/>
    <col min="41" max="41" width="11.42578125" customWidth="1"/>
    <col min="42" max="49" width="10.7109375" customWidth="1"/>
  </cols>
  <sheetData>
    <row r="1" spans="1:111" ht="15" x14ac:dyDescent="0.25">
      <c r="A1" s="7"/>
      <c r="B1" s="7"/>
      <c r="C1" s="7" t="s">
        <v>107</v>
      </c>
      <c r="D1" s="7"/>
      <c r="E1" s="7"/>
      <c r="F1" s="7"/>
      <c r="G1" s="7"/>
      <c r="H1" s="7"/>
      <c r="I1" s="7"/>
      <c r="J1" s="7"/>
      <c r="K1" s="7"/>
      <c r="L1" s="8" t="s">
        <v>21</v>
      </c>
      <c r="M1" s="8"/>
      <c r="N1" s="8"/>
      <c r="O1" s="8"/>
      <c r="P1" s="8"/>
      <c r="Q1" s="9"/>
      <c r="R1" s="7"/>
      <c r="S1" s="7"/>
      <c r="T1" s="7"/>
      <c r="U1" s="7"/>
      <c r="V1" s="7"/>
      <c r="W1" s="7"/>
      <c r="X1" s="7"/>
      <c r="Y1" s="10"/>
      <c r="Z1" s="10"/>
      <c r="AA1" s="10"/>
      <c r="AB1" s="10"/>
      <c r="AC1" s="10"/>
      <c r="AD1" s="10"/>
      <c r="AE1" s="10"/>
      <c r="AF1" s="10"/>
      <c r="AG1" s="10"/>
      <c r="AH1" s="7"/>
      <c r="AI1" s="7"/>
      <c r="AJ1" s="2"/>
      <c r="AK1" s="2"/>
      <c r="AL1" s="2"/>
      <c r="AM1" s="2"/>
      <c r="AN1" s="2"/>
      <c r="AO1" s="2"/>
      <c r="AP1" s="2"/>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5"/>
      <c r="DA1" s="5"/>
      <c r="DB1" s="5"/>
      <c r="DC1" s="5"/>
      <c r="DD1" s="5"/>
      <c r="DE1" s="5"/>
      <c r="DF1" s="5"/>
      <c r="DG1" s="5"/>
    </row>
    <row r="2" spans="1:111" ht="15" x14ac:dyDescent="0.25">
      <c r="A2" s="7"/>
      <c r="B2" s="7"/>
      <c r="C2" s="7"/>
      <c r="D2" s="7"/>
      <c r="E2" s="7"/>
      <c r="F2" s="7"/>
      <c r="G2" s="7"/>
      <c r="H2" s="7"/>
      <c r="I2" s="7"/>
      <c r="J2" s="7"/>
      <c r="K2" s="7"/>
      <c r="L2" s="11" t="s">
        <v>166</v>
      </c>
      <c r="M2" s="11" t="s">
        <v>16</v>
      </c>
      <c r="N2" s="11" t="s">
        <v>14</v>
      </c>
      <c r="O2" s="11" t="s">
        <v>15</v>
      </c>
      <c r="P2" s="11" t="s">
        <v>57</v>
      </c>
      <c r="Q2" s="9"/>
      <c r="R2" s="7"/>
      <c r="S2" s="7"/>
      <c r="T2" s="7"/>
      <c r="U2" s="7"/>
      <c r="V2" s="7"/>
      <c r="W2" s="7"/>
      <c r="X2" s="12"/>
      <c r="Y2" s="7"/>
      <c r="Z2" s="10"/>
      <c r="AA2" s="10"/>
      <c r="AB2" s="10"/>
      <c r="AC2" s="10"/>
      <c r="AD2" s="10"/>
      <c r="AE2" s="10"/>
      <c r="AF2" s="13"/>
      <c r="AG2" s="10"/>
      <c r="AH2" s="7"/>
      <c r="AI2" s="7"/>
      <c r="AJ2" s="2"/>
      <c r="AK2" s="2"/>
      <c r="AL2" s="2"/>
      <c r="AM2" s="2"/>
      <c r="AN2" s="2"/>
      <c r="AO2" s="2"/>
      <c r="AP2" s="2"/>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5"/>
      <c r="DA2" s="5"/>
      <c r="DB2" s="5"/>
      <c r="DC2" s="5"/>
      <c r="DD2" s="5"/>
      <c r="DE2" s="5"/>
      <c r="DF2" s="5"/>
      <c r="DG2" s="5"/>
    </row>
    <row r="3" spans="1:111" ht="15" x14ac:dyDescent="0.25">
      <c r="A3" s="7"/>
      <c r="B3" s="7"/>
      <c r="C3" s="7"/>
      <c r="D3" s="7"/>
      <c r="E3" s="7"/>
      <c r="F3" s="7"/>
      <c r="G3" s="7"/>
      <c r="H3" s="7"/>
      <c r="I3" s="7"/>
      <c r="J3" s="7"/>
      <c r="K3" s="7"/>
      <c r="L3" s="11">
        <v>160</v>
      </c>
      <c r="M3" s="14">
        <f>(L3*43560)^0.5</f>
        <v>2640</v>
      </c>
      <c r="N3" s="15">
        <f>230/1320</f>
        <v>0.17424242424242425</v>
      </c>
      <c r="O3" s="11">
        <f>M3*N3</f>
        <v>460.00000000000006</v>
      </c>
      <c r="P3" s="15">
        <f>O3/L3</f>
        <v>2.8750000000000004</v>
      </c>
      <c r="Q3" s="9"/>
      <c r="R3" s="7"/>
      <c r="S3" s="7"/>
      <c r="T3" s="7"/>
      <c r="U3" s="7"/>
      <c r="V3" s="7"/>
      <c r="W3" s="7"/>
      <c r="X3" s="7"/>
      <c r="Y3" s="7"/>
      <c r="Z3" s="10"/>
      <c r="AA3" s="10"/>
      <c r="AB3" s="10"/>
      <c r="AC3" s="16" t="s">
        <v>102</v>
      </c>
      <c r="AD3" s="16"/>
      <c r="AE3" s="8"/>
      <c r="AF3" s="17"/>
      <c r="AG3" s="8" t="s">
        <v>24</v>
      </c>
      <c r="AH3" s="8"/>
      <c r="AI3" s="7"/>
      <c r="AJ3" s="2"/>
      <c r="AK3" s="2"/>
      <c r="AL3" s="2"/>
      <c r="AM3" s="2"/>
      <c r="AN3" s="2"/>
      <c r="AO3" s="2"/>
      <c r="AP3" s="2"/>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5"/>
      <c r="DA3" s="5"/>
      <c r="DB3" s="5"/>
      <c r="DC3" s="5"/>
      <c r="DD3" s="5"/>
      <c r="DE3" s="5"/>
      <c r="DF3" s="5"/>
      <c r="DG3" s="5"/>
    </row>
    <row r="4" spans="1:111" ht="15" x14ac:dyDescent="0.25">
      <c r="A4" s="7"/>
      <c r="B4" s="7"/>
      <c r="C4" s="7"/>
      <c r="D4" s="7"/>
      <c r="E4" s="7"/>
      <c r="F4" s="7"/>
      <c r="G4" s="7"/>
      <c r="H4" s="7"/>
      <c r="I4" s="7"/>
      <c r="J4" s="7"/>
      <c r="K4" s="7"/>
      <c r="L4" s="8" t="s">
        <v>17</v>
      </c>
      <c r="M4" s="8"/>
      <c r="N4" s="8"/>
      <c r="O4" s="8"/>
      <c r="P4" s="16"/>
      <c r="Q4" s="18"/>
      <c r="R4" s="19" t="s">
        <v>108</v>
      </c>
      <c r="S4" s="20"/>
      <c r="T4" s="20"/>
      <c r="U4" s="20"/>
      <c r="V4" s="20"/>
      <c r="W4" s="21"/>
      <c r="X4" s="21"/>
      <c r="Y4" s="2"/>
      <c r="Z4" s="13"/>
      <c r="AA4" s="10"/>
      <c r="AB4" s="10"/>
      <c r="AC4" s="22" t="s">
        <v>98</v>
      </c>
      <c r="AD4" s="22"/>
      <c r="AE4" s="9"/>
      <c r="AF4" s="17"/>
      <c r="AG4" s="9" t="s">
        <v>103</v>
      </c>
      <c r="AH4" s="9"/>
      <c r="AI4" s="7"/>
      <c r="AJ4" s="2"/>
      <c r="AK4" s="2"/>
      <c r="AL4" s="2"/>
      <c r="AM4" s="2"/>
      <c r="AN4" s="2"/>
      <c r="AO4" s="2"/>
      <c r="AP4" s="2"/>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5"/>
      <c r="DA4" s="5"/>
      <c r="DB4" s="5"/>
      <c r="DC4" s="5"/>
      <c r="DD4" s="5"/>
      <c r="DE4" s="5"/>
      <c r="DF4" s="5"/>
      <c r="DG4" s="5"/>
    </row>
    <row r="5" spans="1:111" ht="15" x14ac:dyDescent="0.25">
      <c r="A5" s="7"/>
      <c r="B5" s="7"/>
      <c r="C5" s="7"/>
      <c r="D5" s="7"/>
      <c r="E5" s="7"/>
      <c r="F5" s="7"/>
      <c r="G5" s="8" t="s">
        <v>96</v>
      </c>
      <c r="H5" s="8"/>
      <c r="I5" s="9"/>
      <c r="J5" s="7"/>
      <c r="K5" s="7"/>
      <c r="L5" s="11" t="s">
        <v>166</v>
      </c>
      <c r="M5" s="23" t="s">
        <v>18</v>
      </c>
      <c r="N5" s="11" t="s">
        <v>20</v>
      </c>
      <c r="O5" s="11" t="s">
        <v>19</v>
      </c>
      <c r="P5" s="23"/>
      <c r="Q5" s="24"/>
      <c r="R5" s="25"/>
      <c r="S5" s="12"/>
      <c r="T5" s="26" t="s">
        <v>144</v>
      </c>
      <c r="U5" s="9"/>
      <c r="V5" s="12"/>
      <c r="W5" s="26"/>
      <c r="X5" s="26"/>
      <c r="Y5" s="7"/>
      <c r="Z5" s="10"/>
      <c r="AA5" s="10"/>
      <c r="AB5" s="10"/>
      <c r="AC5" s="22" t="s">
        <v>99</v>
      </c>
      <c r="AD5" s="22"/>
      <c r="AE5" s="22"/>
      <c r="AF5" s="27"/>
      <c r="AG5" s="9" t="s">
        <v>22</v>
      </c>
      <c r="AH5" s="9"/>
      <c r="AI5" s="7"/>
      <c r="AJ5" s="2"/>
      <c r="AK5" s="2"/>
      <c r="AL5" s="2"/>
      <c r="AM5" s="2"/>
      <c r="AN5" s="2"/>
      <c r="AO5" s="2"/>
      <c r="AP5" s="2"/>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5"/>
      <c r="DA5" s="5"/>
      <c r="DB5" s="5"/>
      <c r="DC5" s="5"/>
      <c r="DD5" s="5"/>
      <c r="DE5" s="5"/>
      <c r="DF5" s="5"/>
      <c r="DG5" s="5"/>
    </row>
    <row r="6" spans="1:111" ht="15" x14ac:dyDescent="0.25">
      <c r="A6" s="7"/>
      <c r="B6" s="7"/>
      <c r="C6" s="7"/>
      <c r="D6" s="7"/>
      <c r="E6" s="7"/>
      <c r="F6" s="7"/>
      <c r="G6" s="9" t="s">
        <v>94</v>
      </c>
      <c r="H6" s="9"/>
      <c r="I6" s="7"/>
      <c r="J6" s="7"/>
      <c r="K6" s="7"/>
      <c r="L6" s="11">
        <v>160</v>
      </c>
      <c r="M6" s="11">
        <v>3.65</v>
      </c>
      <c r="N6" s="15">
        <f>10/100</f>
        <v>0.1</v>
      </c>
      <c r="O6" s="15">
        <f>5/100</f>
        <v>0.05</v>
      </c>
      <c r="P6" s="11"/>
      <c r="Q6" s="28"/>
      <c r="R6" s="28"/>
      <c r="S6" s="26" t="s">
        <v>138</v>
      </c>
      <c r="T6" s="26" t="s">
        <v>145</v>
      </c>
      <c r="U6" s="11" t="s">
        <v>148</v>
      </c>
      <c r="V6" s="9"/>
      <c r="W6" s="26"/>
      <c r="X6" s="26"/>
      <c r="Y6" s="7"/>
      <c r="Z6" s="7"/>
      <c r="AA6" s="10"/>
      <c r="AB6" s="10"/>
      <c r="AC6" s="22" t="s">
        <v>100</v>
      </c>
      <c r="AD6" s="12">
        <v>2.85</v>
      </c>
      <c r="AE6" s="22"/>
      <c r="AF6" s="27"/>
      <c r="AG6" s="9" t="s">
        <v>23</v>
      </c>
      <c r="AH6" s="9"/>
      <c r="AI6" s="7"/>
      <c r="AJ6" s="2"/>
      <c r="AK6" s="2"/>
      <c r="AL6" s="2"/>
      <c r="AM6" s="2"/>
      <c r="AN6" s="2"/>
      <c r="AO6" s="2"/>
      <c r="AP6" s="2"/>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5"/>
      <c r="DA6" s="5"/>
      <c r="DB6" s="5"/>
      <c r="DC6" s="5"/>
      <c r="DD6" s="5"/>
      <c r="DE6" s="5"/>
      <c r="DF6" s="5"/>
      <c r="DG6" s="5"/>
    </row>
    <row r="7" spans="1:111" ht="15" x14ac:dyDescent="0.25">
      <c r="A7" s="7"/>
      <c r="B7" s="7"/>
      <c r="C7" s="7"/>
      <c r="D7" s="7"/>
      <c r="E7" s="7"/>
      <c r="F7" s="7"/>
      <c r="G7" s="9" t="s">
        <v>95</v>
      </c>
      <c r="H7" s="9"/>
      <c r="I7" s="29" t="e">
        <f>#REF!</f>
        <v>#REF!</v>
      </c>
      <c r="J7" s="7"/>
      <c r="K7" s="7"/>
      <c r="L7" s="11"/>
      <c r="M7" s="11" t="s">
        <v>57</v>
      </c>
      <c r="N7" s="15">
        <f>(N6*$L$6*$M$6)/$L$6</f>
        <v>0.36499999999999999</v>
      </c>
      <c r="O7" s="15">
        <f>(O6*$L$6*$M$6)/$L$6</f>
        <v>0.1825</v>
      </c>
      <c r="P7" s="23"/>
      <c r="Q7" s="28"/>
      <c r="R7" s="28" t="s">
        <v>155</v>
      </c>
      <c r="S7" s="26" t="s">
        <v>139</v>
      </c>
      <c r="T7" s="11" t="s">
        <v>146</v>
      </c>
      <c r="U7" s="26" t="s">
        <v>147</v>
      </c>
      <c r="V7" s="26" t="s">
        <v>149</v>
      </c>
      <c r="W7" s="26"/>
      <c r="X7" s="11"/>
      <c r="Y7" s="7"/>
      <c r="Z7" s="10"/>
      <c r="AA7" s="10"/>
      <c r="AB7" s="10"/>
      <c r="AC7" s="22" t="s">
        <v>101</v>
      </c>
      <c r="AD7" s="12">
        <v>0.06</v>
      </c>
      <c r="AE7" s="23" t="s">
        <v>210</v>
      </c>
      <c r="AF7" s="27"/>
      <c r="AG7" s="9"/>
      <c r="AH7" s="30">
        <v>8.89</v>
      </c>
      <c r="AI7" s="7"/>
      <c r="AJ7" s="2"/>
      <c r="AK7" s="2"/>
      <c r="AL7" s="2"/>
      <c r="AM7" s="2"/>
      <c r="AN7" s="2"/>
      <c r="AO7" s="2"/>
      <c r="AP7" s="2"/>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5"/>
      <c r="DA7" s="5"/>
      <c r="DB7" s="5"/>
      <c r="DC7" s="5"/>
      <c r="DD7" s="5"/>
      <c r="DE7" s="5"/>
      <c r="DF7" s="5"/>
      <c r="DG7" s="5"/>
    </row>
    <row r="8" spans="1:111" ht="15" x14ac:dyDescent="0.25">
      <c r="A8" s="7"/>
      <c r="B8" s="7"/>
      <c r="C8" s="7"/>
      <c r="D8" s="7"/>
      <c r="E8" s="7"/>
      <c r="F8" s="7"/>
      <c r="G8" s="9" t="s">
        <v>97</v>
      </c>
      <c r="H8" s="9"/>
      <c r="I8" s="29" t="e">
        <f>#REF!</f>
        <v>#REF!</v>
      </c>
      <c r="J8" s="7"/>
      <c r="K8" s="7"/>
      <c r="L8" s="9" t="s">
        <v>87</v>
      </c>
      <c r="M8" s="7"/>
      <c r="N8" s="9"/>
      <c r="O8" s="7"/>
      <c r="P8" s="23"/>
      <c r="Q8" s="11"/>
      <c r="R8" s="11" t="s">
        <v>156</v>
      </c>
      <c r="S8" s="11" t="s">
        <v>143</v>
      </c>
      <c r="T8" s="11" t="s">
        <v>133</v>
      </c>
      <c r="U8" s="26" t="s">
        <v>90</v>
      </c>
      <c r="V8" s="26" t="s">
        <v>150</v>
      </c>
      <c r="W8" s="11"/>
      <c r="X8" s="11"/>
      <c r="Y8" s="7"/>
      <c r="Z8" s="10"/>
      <c r="AA8" s="31"/>
      <c r="AB8" s="31"/>
      <c r="AC8" s="22" t="s">
        <v>137</v>
      </c>
      <c r="AD8" s="30">
        <f>SUM(AD6:AD7)</f>
        <v>2.91</v>
      </c>
      <c r="AE8" s="11">
        <v>2.96</v>
      </c>
      <c r="AF8" s="17"/>
      <c r="AG8" s="9" t="s">
        <v>123</v>
      </c>
      <c r="AH8" s="32">
        <f>AH7*1.15</f>
        <v>10.2235</v>
      </c>
      <c r="AI8" s="7"/>
      <c r="AJ8" s="2"/>
      <c r="AK8" s="2"/>
      <c r="AL8" s="2"/>
      <c r="AM8" s="2"/>
      <c r="AN8" s="2"/>
      <c r="AO8" s="2"/>
      <c r="AP8" s="2"/>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5"/>
      <c r="DA8" s="5"/>
      <c r="DB8" s="5"/>
      <c r="DC8" s="5"/>
      <c r="DD8" s="5"/>
      <c r="DE8" s="5"/>
      <c r="DF8" s="5"/>
      <c r="DG8" s="5"/>
    </row>
    <row r="9" spans="1:111" ht="15" x14ac:dyDescent="0.25">
      <c r="A9" s="7"/>
      <c r="B9" s="7"/>
      <c r="C9" s="7"/>
      <c r="D9" s="7"/>
      <c r="E9" s="7"/>
      <c r="F9" s="7"/>
      <c r="G9" s="7"/>
      <c r="H9" s="7"/>
      <c r="I9" s="7"/>
      <c r="J9" s="7"/>
      <c r="K9" s="7"/>
      <c r="L9" s="7"/>
      <c r="M9" s="7"/>
      <c r="N9" s="7"/>
      <c r="O9" s="7"/>
      <c r="P9" s="33"/>
      <c r="Q9" s="33"/>
      <c r="R9" s="17">
        <v>600</v>
      </c>
      <c r="S9" s="34">
        <v>8</v>
      </c>
      <c r="T9" s="35">
        <v>0.35</v>
      </c>
      <c r="U9" s="36" t="e">
        <f>I8</f>
        <v>#REF!</v>
      </c>
      <c r="V9" s="37" t="e">
        <f>(U9*(1+U9)^S9)/((1+U9)^S9-1)</f>
        <v>#REF!</v>
      </c>
      <c r="W9" s="33"/>
      <c r="X9" s="38"/>
      <c r="Y9" s="10"/>
      <c r="Z9" s="22"/>
      <c r="AA9" s="22"/>
      <c r="AB9" s="10"/>
      <c r="AC9" s="7"/>
      <c r="AD9" s="7"/>
      <c r="AE9" s="7"/>
      <c r="AF9" s="7"/>
      <c r="AG9" s="7"/>
      <c r="AH9" s="7"/>
      <c r="AI9" s="7"/>
      <c r="AJ9" s="2"/>
      <c r="AK9" s="7"/>
      <c r="AL9" s="7"/>
      <c r="AM9" s="7"/>
      <c r="AN9" s="7"/>
      <c r="AO9" s="7"/>
      <c r="AP9" s="2"/>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5"/>
      <c r="DA9" s="5"/>
      <c r="DB9" s="5"/>
      <c r="DC9" s="5"/>
      <c r="DD9" s="5"/>
      <c r="DE9" s="5"/>
      <c r="DF9" s="5"/>
      <c r="DG9" s="5"/>
    </row>
    <row r="10" spans="1:111" ht="15" x14ac:dyDescent="0.25">
      <c r="A10" s="39" t="s">
        <v>193</v>
      </c>
      <c r="B10" s="40"/>
      <c r="C10" s="18"/>
      <c r="D10" s="41"/>
      <c r="E10" s="21"/>
      <c r="F10" s="41"/>
      <c r="G10" s="41"/>
      <c r="H10" s="21"/>
      <c r="I10" s="21"/>
      <c r="J10" s="21"/>
      <c r="K10" s="39" t="s">
        <v>158</v>
      </c>
      <c r="L10" s="8"/>
      <c r="M10" s="8"/>
      <c r="N10" s="8"/>
      <c r="O10" s="8"/>
      <c r="P10" s="39" t="s">
        <v>191</v>
      </c>
      <c r="Q10" s="40"/>
      <c r="R10" s="40"/>
      <c r="S10" s="8"/>
      <c r="T10" s="39" t="s">
        <v>189</v>
      </c>
      <c r="U10" s="39"/>
      <c r="V10" s="39"/>
      <c r="W10" s="39" t="s">
        <v>132</v>
      </c>
      <c r="X10" s="19"/>
      <c r="Y10" s="19"/>
      <c r="Z10" s="19"/>
      <c r="AA10" s="19"/>
      <c r="AB10" s="19"/>
      <c r="AC10" s="42" t="s">
        <v>173</v>
      </c>
      <c r="AD10" s="39"/>
      <c r="AE10" s="43" t="s">
        <v>105</v>
      </c>
      <c r="AF10" s="39" t="s">
        <v>106</v>
      </c>
      <c r="AG10" s="39" t="s">
        <v>180</v>
      </c>
      <c r="AH10" s="8"/>
      <c r="AI10" s="40"/>
      <c r="AJ10" s="2"/>
      <c r="AK10" s="19" t="s">
        <v>108</v>
      </c>
      <c r="AL10" s="20"/>
      <c r="AM10" s="20"/>
      <c r="AN10" s="20"/>
      <c r="AO10" s="20"/>
      <c r="AP10" s="2"/>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5"/>
      <c r="DA10" s="5"/>
      <c r="DB10" s="5"/>
      <c r="DC10" s="5"/>
      <c r="DD10" s="5"/>
      <c r="DE10" s="5"/>
      <c r="DF10" s="5"/>
      <c r="DG10" s="5"/>
    </row>
    <row r="11" spans="1:111" ht="15" x14ac:dyDescent="0.25">
      <c r="A11" s="11" t="s">
        <v>76</v>
      </c>
      <c r="B11" s="11" t="s">
        <v>76</v>
      </c>
      <c r="C11" s="28" t="s">
        <v>129</v>
      </c>
      <c r="D11" s="28"/>
      <c r="E11" s="26" t="s">
        <v>138</v>
      </c>
      <c r="F11" s="26" t="s">
        <v>12</v>
      </c>
      <c r="G11" s="11" t="s">
        <v>148</v>
      </c>
      <c r="H11" s="9"/>
      <c r="I11" s="26" t="s">
        <v>151</v>
      </c>
      <c r="J11" s="26" t="s">
        <v>152</v>
      </c>
      <c r="K11" s="44"/>
      <c r="L11" s="11" t="s">
        <v>159</v>
      </c>
      <c r="M11" s="9"/>
      <c r="N11" s="9"/>
      <c r="O11" s="45"/>
      <c r="P11" s="11" t="s">
        <v>169</v>
      </c>
      <c r="Q11" s="11" t="s">
        <v>187</v>
      </c>
      <c r="R11" s="11" t="s">
        <v>171</v>
      </c>
      <c r="S11" s="11" t="s">
        <v>170</v>
      </c>
      <c r="T11" s="8" t="s">
        <v>129</v>
      </c>
      <c r="U11" s="11" t="s">
        <v>169</v>
      </c>
      <c r="V11" s="11" t="s">
        <v>169</v>
      </c>
      <c r="W11" s="11" t="s">
        <v>177</v>
      </c>
      <c r="X11" s="11" t="s">
        <v>177</v>
      </c>
      <c r="Y11" s="23" t="s">
        <v>183</v>
      </c>
      <c r="Z11" s="11" t="s">
        <v>169</v>
      </c>
      <c r="AA11" s="11" t="s">
        <v>169</v>
      </c>
      <c r="AB11" s="23" t="s">
        <v>188</v>
      </c>
      <c r="AC11" s="9" t="s">
        <v>190</v>
      </c>
      <c r="AD11" s="7"/>
      <c r="AE11" s="15" t="e">
        <f>#REF!</f>
        <v>#REF!</v>
      </c>
      <c r="AF11" s="15" t="e">
        <f>#REF!</f>
        <v>#REF!</v>
      </c>
      <c r="AG11" s="11" t="s">
        <v>179</v>
      </c>
      <c r="AH11" s="32" t="e">
        <f>#REF!</f>
        <v>#REF!</v>
      </c>
      <c r="AI11" s="7"/>
      <c r="AJ11" s="2"/>
      <c r="AK11" s="28"/>
      <c r="AL11" s="26" t="s">
        <v>138</v>
      </c>
      <c r="AM11" s="26" t="s">
        <v>12</v>
      </c>
      <c r="AN11" s="11" t="s">
        <v>148</v>
      </c>
      <c r="AO11" s="9"/>
      <c r="AP11" s="2"/>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5"/>
      <c r="DA11" s="5"/>
      <c r="DB11" s="5"/>
      <c r="DC11" s="5"/>
      <c r="DD11" s="5"/>
      <c r="DE11" s="5"/>
      <c r="DF11" s="5"/>
      <c r="DG11" s="5"/>
    </row>
    <row r="12" spans="1:111" ht="15" x14ac:dyDescent="0.25">
      <c r="A12" s="23" t="s">
        <v>129</v>
      </c>
      <c r="B12" s="23" t="s">
        <v>129</v>
      </c>
      <c r="C12" s="28" t="s">
        <v>154</v>
      </c>
      <c r="D12" s="28" t="s">
        <v>155</v>
      </c>
      <c r="E12" s="26" t="s">
        <v>139</v>
      </c>
      <c r="F12" s="26" t="s">
        <v>145</v>
      </c>
      <c r="G12" s="26" t="s">
        <v>147</v>
      </c>
      <c r="H12" s="26" t="s">
        <v>149</v>
      </c>
      <c r="I12" s="26" t="s">
        <v>152</v>
      </c>
      <c r="J12" s="11" t="s">
        <v>153</v>
      </c>
      <c r="K12" s="44" t="s">
        <v>162</v>
      </c>
      <c r="L12" s="11" t="s">
        <v>160</v>
      </c>
      <c r="M12" s="11" t="s">
        <v>164</v>
      </c>
      <c r="N12" s="11" t="s">
        <v>166</v>
      </c>
      <c r="O12" s="11" t="s">
        <v>167</v>
      </c>
      <c r="P12" s="28" t="s">
        <v>154</v>
      </c>
      <c r="Q12" s="11" t="s">
        <v>178</v>
      </c>
      <c r="R12" s="11" t="s">
        <v>176</v>
      </c>
      <c r="S12" s="11" t="s">
        <v>175</v>
      </c>
      <c r="T12" s="11" t="s">
        <v>203</v>
      </c>
      <c r="U12" s="11" t="s">
        <v>203</v>
      </c>
      <c r="V12" s="11" t="s">
        <v>203</v>
      </c>
      <c r="W12" s="11" t="s">
        <v>150</v>
      </c>
      <c r="X12" s="11" t="s">
        <v>150</v>
      </c>
      <c r="Y12" s="23" t="s">
        <v>182</v>
      </c>
      <c r="Z12" s="11" t="s">
        <v>177</v>
      </c>
      <c r="AA12" s="11" t="s">
        <v>177</v>
      </c>
      <c r="AB12" s="23" t="s">
        <v>182</v>
      </c>
      <c r="AC12" s="11" t="s">
        <v>172</v>
      </c>
      <c r="AD12" s="11" t="s">
        <v>184</v>
      </c>
      <c r="AE12" s="11" t="s">
        <v>185</v>
      </c>
      <c r="AF12" s="11" t="s">
        <v>137</v>
      </c>
      <c r="AG12" s="11" t="s">
        <v>174</v>
      </c>
      <c r="AH12" s="11" t="s">
        <v>104</v>
      </c>
      <c r="AI12" s="11" t="s">
        <v>186</v>
      </c>
      <c r="AJ12" s="2"/>
      <c r="AK12" s="28" t="s">
        <v>155</v>
      </c>
      <c r="AL12" s="26" t="s">
        <v>139</v>
      </c>
      <c r="AM12" s="26" t="s">
        <v>145</v>
      </c>
      <c r="AN12" s="26" t="s">
        <v>147</v>
      </c>
      <c r="AO12" s="26" t="s">
        <v>149</v>
      </c>
      <c r="AP12" s="2"/>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5"/>
      <c r="DA12" s="5"/>
      <c r="DB12" s="5"/>
      <c r="DC12" s="5"/>
      <c r="DD12" s="5"/>
      <c r="DE12" s="5"/>
      <c r="DF12" s="5"/>
      <c r="DG12" s="5"/>
    </row>
    <row r="13" spans="1:111" ht="15" x14ac:dyDescent="0.25">
      <c r="A13" s="23" t="s">
        <v>92</v>
      </c>
      <c r="B13" s="23" t="s">
        <v>92</v>
      </c>
      <c r="C13" s="11" t="s">
        <v>136</v>
      </c>
      <c r="D13" s="11" t="s">
        <v>156</v>
      </c>
      <c r="E13" s="11" t="s">
        <v>143</v>
      </c>
      <c r="F13" s="11" t="s">
        <v>11</v>
      </c>
      <c r="G13" s="26" t="s">
        <v>90</v>
      </c>
      <c r="H13" s="26" t="s">
        <v>150</v>
      </c>
      <c r="I13" s="11" t="s">
        <v>153</v>
      </c>
      <c r="J13" s="11" t="s">
        <v>157</v>
      </c>
      <c r="K13" s="44" t="s">
        <v>163</v>
      </c>
      <c r="L13" s="11" t="s">
        <v>161</v>
      </c>
      <c r="M13" s="11" t="s">
        <v>165</v>
      </c>
      <c r="N13" s="11" t="s">
        <v>157</v>
      </c>
      <c r="O13" s="11" t="s">
        <v>168</v>
      </c>
      <c r="P13" s="11" t="s">
        <v>136</v>
      </c>
      <c r="Q13" s="11" t="s">
        <v>169</v>
      </c>
      <c r="R13" s="11" t="s">
        <v>129</v>
      </c>
      <c r="S13" s="11" t="s">
        <v>129</v>
      </c>
      <c r="T13" s="11" t="s">
        <v>130</v>
      </c>
      <c r="U13" s="11" t="s">
        <v>161</v>
      </c>
      <c r="V13" s="11" t="s">
        <v>130</v>
      </c>
      <c r="W13" s="11">
        <v>1</v>
      </c>
      <c r="X13" s="11">
        <v>2</v>
      </c>
      <c r="Y13" s="23" t="s">
        <v>181</v>
      </c>
      <c r="Z13" s="11" t="s">
        <v>194</v>
      </c>
      <c r="AA13" s="11" t="s">
        <v>195</v>
      </c>
      <c r="AB13" s="23" t="s">
        <v>181</v>
      </c>
      <c r="AC13" s="11" t="s">
        <v>157</v>
      </c>
      <c r="AD13" s="11" t="s">
        <v>168</v>
      </c>
      <c r="AE13" s="11" t="s">
        <v>168</v>
      </c>
      <c r="AF13" s="11" t="s">
        <v>168</v>
      </c>
      <c r="AG13" s="11" t="s">
        <v>150</v>
      </c>
      <c r="AH13" s="11" t="s">
        <v>168</v>
      </c>
      <c r="AI13" s="11" t="s">
        <v>168</v>
      </c>
      <c r="AJ13" s="2"/>
      <c r="AK13" s="11" t="s">
        <v>156</v>
      </c>
      <c r="AL13" s="11" t="s">
        <v>143</v>
      </c>
      <c r="AM13" s="11" t="s">
        <v>11</v>
      </c>
      <c r="AN13" s="26" t="s">
        <v>90</v>
      </c>
      <c r="AO13" s="26" t="s">
        <v>150</v>
      </c>
      <c r="AP13" s="2"/>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5"/>
      <c r="DA13" s="5"/>
      <c r="DB13" s="5"/>
      <c r="DC13" s="5"/>
      <c r="DD13" s="5"/>
      <c r="DE13" s="5"/>
      <c r="DF13" s="5"/>
      <c r="DG13" s="5"/>
    </row>
    <row r="14" spans="1:111" ht="15" x14ac:dyDescent="0.25">
      <c r="A14" s="17" t="e">
        <f>#REF!</f>
        <v>#REF!</v>
      </c>
      <c r="B14" s="17" t="s">
        <v>113</v>
      </c>
      <c r="C14" s="33" t="e">
        <f>#REF!</f>
        <v>#REF!</v>
      </c>
      <c r="D14" s="17" t="e">
        <f>#REF!</f>
        <v>#REF!</v>
      </c>
      <c r="E14" s="34" t="e">
        <f>#REF!</f>
        <v>#REF!</v>
      </c>
      <c r="F14" s="35" t="e">
        <f>#REF!</f>
        <v>#REF!</v>
      </c>
      <c r="G14" s="36" t="e">
        <f t="shared" ref="G14:G49" si="0">$I$8</f>
        <v>#REF!</v>
      </c>
      <c r="H14" s="37" t="e">
        <f>(G14*(1+G14)^E14)/((1+G14)^E14-1)</f>
        <v>#REF!</v>
      </c>
      <c r="I14" s="33" t="e">
        <f>((C14-(F14*C14))*H14)+(G14*(F14*C14))</f>
        <v>#REF!</v>
      </c>
      <c r="J14" s="38" t="e">
        <f>I14/D14</f>
        <v>#REF!</v>
      </c>
      <c r="K14" s="46" t="e">
        <f>#REF!</f>
        <v>#REF!</v>
      </c>
      <c r="L14" s="46" t="e">
        <f>#REF!</f>
        <v>#REF!</v>
      </c>
      <c r="M14" s="35" t="e">
        <f>#REF!</f>
        <v>#REF!</v>
      </c>
      <c r="N14" s="38" t="e">
        <f t="shared" ref="N14:N21" si="1">(K14*L14*M14)/8.25</f>
        <v>#REF!</v>
      </c>
      <c r="O14" s="47" t="e">
        <f>1/N14</f>
        <v>#REF!</v>
      </c>
      <c r="P14" s="33" t="e">
        <f>#REF!</f>
        <v>#REF!</v>
      </c>
      <c r="Q14" s="33" t="e">
        <f>#REF!</f>
        <v>#REF!</v>
      </c>
      <c r="R14" s="33" t="e">
        <f>#REF!</f>
        <v>#REF!</v>
      </c>
      <c r="S14" s="46" t="e">
        <f>#REF!</f>
        <v>#REF!</v>
      </c>
      <c r="T14" s="38" t="e">
        <f>J14*O14*S14</f>
        <v>#REF!</v>
      </c>
      <c r="U14" s="38" t="e">
        <f>(((P14-(AM14*P14))*AO14)+(AN14*(AM14*P14)))/AK14</f>
        <v>#REF!</v>
      </c>
      <c r="V14" s="38" t="e">
        <f>U14*O14*S14</f>
        <v>#REF!</v>
      </c>
      <c r="W14" s="38">
        <v>0.28999999999999998</v>
      </c>
      <c r="X14" s="48">
        <v>1.8</v>
      </c>
      <c r="Y14" s="49" t="e">
        <f>(C14*W14*(((E14*D14)/1000)^X14)/(E14*D14))*O14*S14</f>
        <v>#REF!</v>
      </c>
      <c r="Z14" s="50" t="e">
        <f>IF(Q14=4,0.003,0.007)</f>
        <v>#REF!</v>
      </c>
      <c r="AA14" s="48">
        <v>2</v>
      </c>
      <c r="AB14" s="49" t="e">
        <f>(P14*Z14*(((AL14*AK14)/1000)^AA14)/(AL14*AK14))*O14*S14</f>
        <v>#REF!</v>
      </c>
      <c r="AC14" s="46" t="e">
        <f>0.044*R14</f>
        <v>#REF!</v>
      </c>
      <c r="AD14" s="38" t="e">
        <f>AC14*O14*$AE$11*S14</f>
        <v>#REF!</v>
      </c>
      <c r="AE14" s="38" t="e">
        <f>AD14*0.1</f>
        <v>#REF!</v>
      </c>
      <c r="AF14" s="38" t="e">
        <f>SUM(AD14:AE14)</f>
        <v>#REF!</v>
      </c>
      <c r="AG14" s="38">
        <v>1.04</v>
      </c>
      <c r="AH14" s="47" t="e">
        <f>O14*S14*AG14</f>
        <v>#REF!</v>
      </c>
      <c r="AI14" s="38" t="e">
        <f>AH14*$AH$11</f>
        <v>#REF!</v>
      </c>
      <c r="AJ14" s="2"/>
      <c r="AK14" s="33" t="e">
        <f>#REF!</f>
        <v>#REF!</v>
      </c>
      <c r="AL14" s="17" t="e">
        <f>#REF!</f>
        <v>#REF!</v>
      </c>
      <c r="AM14" s="35" t="e">
        <f>#REF!</f>
        <v>#REF!</v>
      </c>
      <c r="AN14" s="36" t="e">
        <f>$I$8</f>
        <v>#REF!</v>
      </c>
      <c r="AO14" s="37" t="e">
        <f>(AN14*(1+AN14)^AL14)/((1+AN14)^AL14-1)</f>
        <v>#REF!</v>
      </c>
      <c r="AP14" s="2"/>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5"/>
      <c r="DA14" s="5"/>
      <c r="DB14" s="5"/>
      <c r="DC14" s="5"/>
      <c r="DD14" s="5"/>
      <c r="DE14" s="5"/>
      <c r="DF14" s="5"/>
      <c r="DG14" s="5"/>
    </row>
    <row r="15" spans="1:111" ht="15" x14ac:dyDescent="0.25">
      <c r="A15" s="17" t="e">
        <f>#REF!</f>
        <v>#REF!</v>
      </c>
      <c r="B15" s="17" t="s">
        <v>113</v>
      </c>
      <c r="C15" s="33" t="e">
        <f>#REF!</f>
        <v>#REF!</v>
      </c>
      <c r="D15" s="17" t="e">
        <f>#REF!</f>
        <v>#REF!</v>
      </c>
      <c r="E15" s="34" t="e">
        <f>#REF!</f>
        <v>#REF!</v>
      </c>
      <c r="F15" s="35" t="e">
        <f>#REF!</f>
        <v>#REF!</v>
      </c>
      <c r="G15" s="36" t="e">
        <f t="shared" si="0"/>
        <v>#REF!</v>
      </c>
      <c r="H15" s="37" t="e">
        <f t="shared" ref="H15:H49" si="2">(G15*(1+G15)^E15)/((1+G15)^E15-1)</f>
        <v>#REF!</v>
      </c>
      <c r="I15" s="33" t="e">
        <f>((C15-(F15*C15))*H15)+(G15*(F15*C15))</f>
        <v>#REF!</v>
      </c>
      <c r="J15" s="38" t="e">
        <f>I15/D15</f>
        <v>#REF!</v>
      </c>
      <c r="K15" s="46" t="e">
        <f>#REF!</f>
        <v>#REF!</v>
      </c>
      <c r="L15" s="46" t="e">
        <f>#REF!</f>
        <v>#REF!</v>
      </c>
      <c r="M15" s="35" t="e">
        <f>#REF!</f>
        <v>#REF!</v>
      </c>
      <c r="N15" s="38" t="e">
        <f t="shared" si="1"/>
        <v>#REF!</v>
      </c>
      <c r="O15" s="47" t="e">
        <f>1/N15</f>
        <v>#REF!</v>
      </c>
      <c r="P15" s="33" t="e">
        <f>#REF!</f>
        <v>#REF!</v>
      </c>
      <c r="Q15" s="33" t="e">
        <f>#REF!</f>
        <v>#REF!</v>
      </c>
      <c r="R15" s="33" t="e">
        <f>#REF!</f>
        <v>#REF!</v>
      </c>
      <c r="S15" s="46" t="e">
        <f>#REF!</f>
        <v>#REF!</v>
      </c>
      <c r="T15" s="38" t="e">
        <f>J15*O15*S15</f>
        <v>#REF!</v>
      </c>
      <c r="U15" s="38" t="e">
        <f t="shared" ref="U15:U42" si="3">(((P15-(AM15*P15))*AO15)+(AN15*(AM15*P15)))/AK15</f>
        <v>#REF!</v>
      </c>
      <c r="V15" s="38" t="e">
        <f>U15*O15*S15</f>
        <v>#REF!</v>
      </c>
      <c r="W15" s="38">
        <v>0.28999999999999998</v>
      </c>
      <c r="X15" s="48">
        <v>1.8</v>
      </c>
      <c r="Y15" s="49" t="e">
        <f>(C15*W15*(((E15*D15)/1000)^X15)/(E15*D15))*O15*S15</f>
        <v>#REF!</v>
      </c>
      <c r="Z15" s="50" t="e">
        <f>IF(Q15=4,0.003,0.007)</f>
        <v>#REF!</v>
      </c>
      <c r="AA15" s="48">
        <v>2</v>
      </c>
      <c r="AB15" s="49" t="e">
        <f t="shared" ref="AB15:AB49" si="4">(P15*Z15*(((AL15*AK15)/1000)^AA15)/(AL15*AK15))*O15*S15</f>
        <v>#REF!</v>
      </c>
      <c r="AC15" s="46" t="e">
        <f>0.044*R15</f>
        <v>#REF!</v>
      </c>
      <c r="AD15" s="38" t="e">
        <f>AC15*O15*$AE$11*S15</f>
        <v>#REF!</v>
      </c>
      <c r="AE15" s="38" t="e">
        <f>AD15*0.1</f>
        <v>#REF!</v>
      </c>
      <c r="AF15" s="38" t="e">
        <f>SUM(AD15:AE15)</f>
        <v>#REF!</v>
      </c>
      <c r="AG15" s="38">
        <v>1.04</v>
      </c>
      <c r="AH15" s="47" t="e">
        <f>O15*S15*AG15</f>
        <v>#REF!</v>
      </c>
      <c r="AI15" s="38" t="e">
        <f>AH15*$AH$11</f>
        <v>#REF!</v>
      </c>
      <c r="AJ15" s="2"/>
      <c r="AK15" s="33" t="e">
        <f>#REF!</f>
        <v>#REF!</v>
      </c>
      <c r="AL15" s="17" t="e">
        <f>#REF!</f>
        <v>#REF!</v>
      </c>
      <c r="AM15" s="35" t="e">
        <f>#REF!</f>
        <v>#REF!</v>
      </c>
      <c r="AN15" s="36" t="e">
        <f t="shared" ref="AN15:AN43" si="5">$I$8</f>
        <v>#REF!</v>
      </c>
      <c r="AO15" s="37" t="e">
        <f t="shared" ref="AO15:AO49" si="6">(AN15*(1+AN15)^AL15)/((1+AN15)^AL15-1)</f>
        <v>#REF!</v>
      </c>
      <c r="AP15" s="2"/>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5"/>
      <c r="DA15" s="5"/>
      <c r="DB15" s="5"/>
      <c r="DC15" s="5"/>
      <c r="DD15" s="5"/>
      <c r="DE15" s="5"/>
      <c r="DF15" s="5"/>
      <c r="DG15" s="5"/>
    </row>
    <row r="16" spans="1:111" ht="15" x14ac:dyDescent="0.25">
      <c r="A16" s="17" t="e">
        <f>#REF!</f>
        <v>#REF!</v>
      </c>
      <c r="B16" s="17" t="s">
        <v>113</v>
      </c>
      <c r="C16" s="33" t="e">
        <f>#REF!</f>
        <v>#REF!</v>
      </c>
      <c r="D16" s="17" t="e">
        <f>#REF!</f>
        <v>#REF!</v>
      </c>
      <c r="E16" s="34" t="e">
        <f>#REF!</f>
        <v>#REF!</v>
      </c>
      <c r="F16" s="35" t="e">
        <f>#REF!</f>
        <v>#REF!</v>
      </c>
      <c r="G16" s="36" t="e">
        <f t="shared" si="0"/>
        <v>#REF!</v>
      </c>
      <c r="H16" s="37" t="e">
        <f t="shared" si="2"/>
        <v>#REF!</v>
      </c>
      <c r="I16" s="33" t="e">
        <f>((C16-(F16*C16))*H16)+(G16*(F16*C16))</f>
        <v>#REF!</v>
      </c>
      <c r="J16" s="38" t="e">
        <f>I16/D16</f>
        <v>#REF!</v>
      </c>
      <c r="K16" s="46" t="e">
        <f>#REF!</f>
        <v>#REF!</v>
      </c>
      <c r="L16" s="46" t="e">
        <f>#REF!</f>
        <v>#REF!</v>
      </c>
      <c r="M16" s="35" t="e">
        <f>#REF!</f>
        <v>#REF!</v>
      </c>
      <c r="N16" s="38" t="e">
        <f>(K16*L16*M16)/8.25</f>
        <v>#REF!</v>
      </c>
      <c r="O16" s="47" t="e">
        <f>1/N16</f>
        <v>#REF!</v>
      </c>
      <c r="P16" s="33" t="e">
        <f>#REF!</f>
        <v>#REF!</v>
      </c>
      <c r="Q16" s="33" t="e">
        <f>#REF!</f>
        <v>#REF!</v>
      </c>
      <c r="R16" s="33" t="e">
        <f>#REF!</f>
        <v>#REF!</v>
      </c>
      <c r="S16" s="46" t="e">
        <f>#REF!</f>
        <v>#REF!</v>
      </c>
      <c r="T16" s="38" t="e">
        <f>J16*O16*S16</f>
        <v>#REF!</v>
      </c>
      <c r="U16" s="38" t="e">
        <f t="shared" si="3"/>
        <v>#REF!</v>
      </c>
      <c r="V16" s="38" t="e">
        <f>U16*O16*S16</f>
        <v>#REF!</v>
      </c>
      <c r="W16" s="38">
        <v>0.28999999999999998</v>
      </c>
      <c r="X16" s="48">
        <v>1.8</v>
      </c>
      <c r="Y16" s="49" t="e">
        <f>(C16*W16*(((E16*D16)/1000)^X16)/(E16*D16))*O16*S16</f>
        <v>#REF!</v>
      </c>
      <c r="Z16" s="50" t="e">
        <f>IF(Q16=4,0.003,0.007)</f>
        <v>#REF!</v>
      </c>
      <c r="AA16" s="48">
        <v>2</v>
      </c>
      <c r="AB16" s="49" t="e">
        <f t="shared" si="4"/>
        <v>#REF!</v>
      </c>
      <c r="AC16" s="46" t="e">
        <f>0.044*R16</f>
        <v>#REF!</v>
      </c>
      <c r="AD16" s="38" t="e">
        <f>AC16*O16*$AE$11*S16</f>
        <v>#REF!</v>
      </c>
      <c r="AE16" s="38" t="e">
        <f>AD16*0.1</f>
        <v>#REF!</v>
      </c>
      <c r="AF16" s="38" t="e">
        <f>SUM(AD16:AE16)</f>
        <v>#REF!</v>
      </c>
      <c r="AG16" s="38">
        <v>1.04</v>
      </c>
      <c r="AH16" s="29" t="e">
        <f>O16*S16*AG16</f>
        <v>#REF!</v>
      </c>
      <c r="AI16" s="38" t="e">
        <f>AH16*$AH$11</f>
        <v>#REF!</v>
      </c>
      <c r="AJ16" s="2"/>
      <c r="AK16" s="33" t="e">
        <f>#REF!</f>
        <v>#REF!</v>
      </c>
      <c r="AL16" s="17" t="e">
        <f>#REF!</f>
        <v>#REF!</v>
      </c>
      <c r="AM16" s="35" t="e">
        <f>#REF!</f>
        <v>#REF!</v>
      </c>
      <c r="AN16" s="36" t="e">
        <f t="shared" si="5"/>
        <v>#REF!</v>
      </c>
      <c r="AO16" s="37" t="e">
        <f t="shared" si="6"/>
        <v>#REF!</v>
      </c>
      <c r="AP16" s="2"/>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5"/>
      <c r="DA16" s="5"/>
      <c r="DB16" s="5"/>
      <c r="DC16" s="5"/>
      <c r="DD16" s="5"/>
      <c r="DE16" s="5"/>
      <c r="DF16" s="5"/>
      <c r="DG16" s="5"/>
    </row>
    <row r="17" spans="1:111" ht="15" x14ac:dyDescent="0.25">
      <c r="A17" s="17" t="e">
        <f>#REF!</f>
        <v>#REF!</v>
      </c>
      <c r="B17" s="17" t="s">
        <v>113</v>
      </c>
      <c r="C17" s="33" t="e">
        <f>#REF!</f>
        <v>#REF!</v>
      </c>
      <c r="D17" s="17" t="e">
        <f>#REF!</f>
        <v>#REF!</v>
      </c>
      <c r="E17" s="34" t="e">
        <f>#REF!</f>
        <v>#REF!</v>
      </c>
      <c r="F17" s="35" t="e">
        <f>#REF!</f>
        <v>#REF!</v>
      </c>
      <c r="G17" s="36" t="e">
        <f t="shared" si="0"/>
        <v>#REF!</v>
      </c>
      <c r="H17" s="37" t="e">
        <f t="shared" si="2"/>
        <v>#REF!</v>
      </c>
      <c r="I17" s="33" t="e">
        <f>((C17-(F17*C17))*H17)+(G17*(F17*C17))</f>
        <v>#REF!</v>
      </c>
      <c r="J17" s="38" t="e">
        <f>I17/D17</f>
        <v>#REF!</v>
      </c>
      <c r="K17" s="46" t="e">
        <f>#REF!</f>
        <v>#REF!</v>
      </c>
      <c r="L17" s="46" t="e">
        <f>#REF!</f>
        <v>#REF!</v>
      </c>
      <c r="M17" s="35" t="e">
        <f>#REF!</f>
        <v>#REF!</v>
      </c>
      <c r="N17" s="38" t="e">
        <f t="shared" si="1"/>
        <v>#REF!</v>
      </c>
      <c r="O17" s="47" t="e">
        <f>1/N17</f>
        <v>#REF!</v>
      </c>
      <c r="P17" s="33" t="e">
        <f>#REF!</f>
        <v>#REF!</v>
      </c>
      <c r="Q17" s="33" t="e">
        <f>#REF!</f>
        <v>#REF!</v>
      </c>
      <c r="R17" s="33" t="e">
        <f>#REF!</f>
        <v>#REF!</v>
      </c>
      <c r="S17" s="46" t="e">
        <f>#REF!</f>
        <v>#REF!</v>
      </c>
      <c r="T17" s="38" t="e">
        <f>J17*O17*S17</f>
        <v>#REF!</v>
      </c>
      <c r="U17" s="38" t="e">
        <f t="shared" si="3"/>
        <v>#REF!</v>
      </c>
      <c r="V17" s="38" t="e">
        <f>U17*O17*S17</f>
        <v>#REF!</v>
      </c>
      <c r="W17" s="38">
        <v>0.18</v>
      </c>
      <c r="X17" s="48">
        <v>1.7</v>
      </c>
      <c r="Y17" s="49" t="e">
        <f>(C17*W17*(((E17*D17)/1000)^X17)/(E17*D17))*O17*S17</f>
        <v>#REF!</v>
      </c>
      <c r="Z17" s="50" t="e">
        <f>IF(Q17=4,0.003,0.007)</f>
        <v>#REF!</v>
      </c>
      <c r="AA17" s="48">
        <v>2</v>
      </c>
      <c r="AB17" s="49" t="e">
        <f t="shared" si="4"/>
        <v>#REF!</v>
      </c>
      <c r="AC17" s="46" t="e">
        <f>0.044*R17</f>
        <v>#REF!</v>
      </c>
      <c r="AD17" s="38" t="e">
        <f>AC17*O17*$AE$11*S17</f>
        <v>#REF!</v>
      </c>
      <c r="AE17" s="38" t="e">
        <f>AD17*0.1</f>
        <v>#REF!</v>
      </c>
      <c r="AF17" s="38" t="e">
        <f>SUM(AD17:AE17)</f>
        <v>#REF!</v>
      </c>
      <c r="AG17" s="38">
        <v>1.04</v>
      </c>
      <c r="AH17" s="29" t="e">
        <f>O17*S17*AG17</f>
        <v>#REF!</v>
      </c>
      <c r="AI17" s="38" t="e">
        <f>AH17*$AH$11</f>
        <v>#REF!</v>
      </c>
      <c r="AJ17" s="2"/>
      <c r="AK17" s="33" t="e">
        <f>#REF!</f>
        <v>#REF!</v>
      </c>
      <c r="AL17" s="17" t="e">
        <f>#REF!</f>
        <v>#REF!</v>
      </c>
      <c r="AM17" s="35" t="e">
        <f>#REF!</f>
        <v>#REF!</v>
      </c>
      <c r="AN17" s="36" t="e">
        <f t="shared" si="5"/>
        <v>#REF!</v>
      </c>
      <c r="AO17" s="37" t="e">
        <f t="shared" si="6"/>
        <v>#REF!</v>
      </c>
      <c r="AP17" s="2"/>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5"/>
      <c r="DA17" s="5"/>
      <c r="DB17" s="5"/>
      <c r="DC17" s="5"/>
      <c r="DD17" s="5"/>
      <c r="DE17" s="5"/>
      <c r="DF17" s="5"/>
      <c r="DG17" s="5"/>
    </row>
    <row r="18" spans="1:111" ht="15" x14ac:dyDescent="0.25">
      <c r="A18" s="17" t="e">
        <f>#REF!</f>
        <v>#REF!</v>
      </c>
      <c r="B18" s="17" t="s">
        <v>113</v>
      </c>
      <c r="C18" s="33" t="e">
        <f>#REF!</f>
        <v>#REF!</v>
      </c>
      <c r="D18" s="17" t="e">
        <f>#REF!</f>
        <v>#REF!</v>
      </c>
      <c r="E18" s="34" t="e">
        <f>#REF!</f>
        <v>#REF!</v>
      </c>
      <c r="F18" s="35" t="e">
        <f>#REF!</f>
        <v>#REF!</v>
      </c>
      <c r="G18" s="36" t="e">
        <f t="shared" si="0"/>
        <v>#REF!</v>
      </c>
      <c r="H18" s="37" t="e">
        <f t="shared" si="2"/>
        <v>#REF!</v>
      </c>
      <c r="I18" s="33" t="e">
        <f>((C18-(F18*C18))*H18)+(G18*(F18*C18))</f>
        <v>#REF!</v>
      </c>
      <c r="J18" s="38" t="e">
        <f>I18/D18</f>
        <v>#REF!</v>
      </c>
      <c r="K18" s="46" t="e">
        <f>#REF!</f>
        <v>#REF!</v>
      </c>
      <c r="L18" s="46" t="e">
        <f>#REF!</f>
        <v>#REF!</v>
      </c>
      <c r="M18" s="35" t="e">
        <f>#REF!</f>
        <v>#REF!</v>
      </c>
      <c r="N18" s="38" t="e">
        <f>(K18*L18*M18)/8.25</f>
        <v>#REF!</v>
      </c>
      <c r="O18" s="47" t="e">
        <f>1/N18</f>
        <v>#REF!</v>
      </c>
      <c r="P18" s="33" t="e">
        <f>#REF!</f>
        <v>#REF!</v>
      </c>
      <c r="Q18" s="33" t="e">
        <f>#REF!</f>
        <v>#REF!</v>
      </c>
      <c r="R18" s="33" t="e">
        <f>#REF!</f>
        <v>#REF!</v>
      </c>
      <c r="S18" s="46" t="e">
        <f>#REF!</f>
        <v>#REF!</v>
      </c>
      <c r="T18" s="38" t="e">
        <f>J18*O18*S18</f>
        <v>#REF!</v>
      </c>
      <c r="U18" s="38" t="e">
        <f t="shared" si="3"/>
        <v>#REF!</v>
      </c>
      <c r="V18" s="38" t="e">
        <f>U18*O18*S18</f>
        <v>#REF!</v>
      </c>
      <c r="W18" s="38">
        <v>0.28999999999999998</v>
      </c>
      <c r="X18" s="48">
        <v>1.8</v>
      </c>
      <c r="Y18" s="49" t="e">
        <f>(C18*W18*(((E18*D18)/1000)^X18)/(E18*D18))*O18*S18</f>
        <v>#REF!</v>
      </c>
      <c r="Z18" s="50" t="e">
        <f>IF(Q18=4,0.003,0.007)</f>
        <v>#REF!</v>
      </c>
      <c r="AA18" s="48">
        <v>2</v>
      </c>
      <c r="AB18" s="49" t="e">
        <f t="shared" si="4"/>
        <v>#REF!</v>
      </c>
      <c r="AC18" s="46" t="e">
        <f>0.044*R18</f>
        <v>#REF!</v>
      </c>
      <c r="AD18" s="38" t="e">
        <f>AC18*O18*$AE$11*S18</f>
        <v>#REF!</v>
      </c>
      <c r="AE18" s="38" t="e">
        <f>AD18*0.1</f>
        <v>#REF!</v>
      </c>
      <c r="AF18" s="38" t="e">
        <f>SUM(AD18:AE18)</f>
        <v>#REF!</v>
      </c>
      <c r="AG18" s="38">
        <v>1.04</v>
      </c>
      <c r="AH18" s="29" t="e">
        <f>O18*S18*AG18</f>
        <v>#REF!</v>
      </c>
      <c r="AI18" s="38" t="e">
        <f>AH18*$AH$11</f>
        <v>#REF!</v>
      </c>
      <c r="AJ18" s="2"/>
      <c r="AK18" s="33" t="e">
        <f>#REF!</f>
        <v>#REF!</v>
      </c>
      <c r="AL18" s="17" t="e">
        <f>#REF!</f>
        <v>#REF!</v>
      </c>
      <c r="AM18" s="35" t="e">
        <f>#REF!</f>
        <v>#REF!</v>
      </c>
      <c r="AN18" s="36" t="e">
        <f t="shared" si="5"/>
        <v>#REF!</v>
      </c>
      <c r="AO18" s="37" t="e">
        <f t="shared" si="6"/>
        <v>#REF!</v>
      </c>
      <c r="AP18" s="2"/>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5"/>
      <c r="DA18" s="5"/>
      <c r="DB18" s="5"/>
      <c r="DC18" s="5"/>
      <c r="DD18" s="5"/>
      <c r="DE18" s="5"/>
      <c r="DF18" s="5"/>
      <c r="DG18" s="5"/>
    </row>
    <row r="19" spans="1:111" ht="15" x14ac:dyDescent="0.25">
      <c r="A19" s="17" t="e">
        <f>#REF!</f>
        <v>#REF!</v>
      </c>
      <c r="B19" s="17" t="s">
        <v>88</v>
      </c>
      <c r="C19" s="33" t="e">
        <f>#REF!</f>
        <v>#REF!</v>
      </c>
      <c r="D19" s="17" t="e">
        <f>#REF!</f>
        <v>#REF!</v>
      </c>
      <c r="E19" s="34" t="e">
        <f>#REF!</f>
        <v>#REF!</v>
      </c>
      <c r="F19" s="35" t="e">
        <f>#REF!</f>
        <v>#REF!</v>
      </c>
      <c r="G19" s="36" t="e">
        <f t="shared" si="0"/>
        <v>#REF!</v>
      </c>
      <c r="H19" s="37" t="e">
        <f t="shared" si="2"/>
        <v>#REF!</v>
      </c>
      <c r="I19" s="33" t="e">
        <f t="shared" ref="I19:I49" si="7">((C19-(F19*C19))*H19)+(G19*(F19*C19))</f>
        <v>#REF!</v>
      </c>
      <c r="J19" s="38" t="e">
        <f t="shared" ref="J19:J49" si="8">I19/D19</f>
        <v>#REF!</v>
      </c>
      <c r="K19" s="46" t="e">
        <f>#REF!</f>
        <v>#REF!</v>
      </c>
      <c r="L19" s="46" t="e">
        <f>#REF!</f>
        <v>#REF!</v>
      </c>
      <c r="M19" s="35" t="e">
        <f>#REF!</f>
        <v>#REF!</v>
      </c>
      <c r="N19" s="38" t="e">
        <f t="shared" si="1"/>
        <v>#REF!</v>
      </c>
      <c r="O19" s="47" t="e">
        <f t="shared" ref="O19:O49" si="9">1/N19</f>
        <v>#REF!</v>
      </c>
      <c r="P19" s="33" t="e">
        <f>#REF!</f>
        <v>#REF!</v>
      </c>
      <c r="Q19" s="33" t="e">
        <f>#REF!</f>
        <v>#REF!</v>
      </c>
      <c r="R19" s="33" t="e">
        <f>#REF!</f>
        <v>#REF!</v>
      </c>
      <c r="S19" s="46" t="e">
        <f>#REF!</f>
        <v>#REF!</v>
      </c>
      <c r="T19" s="38" t="e">
        <f t="shared" ref="T19:T49" si="10">J19*O19*S19</f>
        <v>#REF!</v>
      </c>
      <c r="U19" s="38" t="e">
        <f t="shared" si="3"/>
        <v>#REF!</v>
      </c>
      <c r="V19" s="38" t="e">
        <f t="shared" ref="V19:V49" si="11">U19*O19*S19</f>
        <v>#REF!</v>
      </c>
      <c r="W19" s="38">
        <v>0.18</v>
      </c>
      <c r="X19" s="48">
        <v>1.7</v>
      </c>
      <c r="Y19" s="49" t="e">
        <f t="shared" ref="Y19:Y49" si="12">(C19*W19*(((E19*D19)/1000)^X19)/(E19*D19))*O19*S19</f>
        <v>#REF!</v>
      </c>
      <c r="Z19" s="50" t="e">
        <f t="shared" ref="Z19:Z49" si="13">IF(Q19=4,0.003,0.007)</f>
        <v>#REF!</v>
      </c>
      <c r="AA19" s="48">
        <v>2</v>
      </c>
      <c r="AB19" s="49" t="e">
        <f t="shared" si="4"/>
        <v>#REF!</v>
      </c>
      <c r="AC19" s="46" t="e">
        <f t="shared" ref="AC19:AC49" si="14">0.044*R19</f>
        <v>#REF!</v>
      </c>
      <c r="AD19" s="38" t="e">
        <f t="shared" ref="AD19:AD49" si="15">AC19*O19*$AE$11*S19</f>
        <v>#REF!</v>
      </c>
      <c r="AE19" s="38" t="e">
        <f t="shared" ref="AE19:AE49" si="16">AD19*0.1</f>
        <v>#REF!</v>
      </c>
      <c r="AF19" s="38" t="e">
        <f t="shared" ref="AF19:AF49" si="17">SUM(AD19:AE19)</f>
        <v>#REF!</v>
      </c>
      <c r="AG19" s="38">
        <v>1.04</v>
      </c>
      <c r="AH19" s="29" t="e">
        <f t="shared" ref="AH19:AH49" si="18">O19*S19*AG19</f>
        <v>#REF!</v>
      </c>
      <c r="AI19" s="38" t="e">
        <f t="shared" ref="AI19:AI49" si="19">AH19*$AH$11</f>
        <v>#REF!</v>
      </c>
      <c r="AJ19" s="2"/>
      <c r="AK19" s="33" t="e">
        <f>#REF!</f>
        <v>#REF!</v>
      </c>
      <c r="AL19" s="17" t="e">
        <f>#REF!</f>
        <v>#REF!</v>
      </c>
      <c r="AM19" s="35" t="e">
        <f>#REF!</f>
        <v>#REF!</v>
      </c>
      <c r="AN19" s="36" t="e">
        <f t="shared" si="5"/>
        <v>#REF!</v>
      </c>
      <c r="AO19" s="37" t="e">
        <f t="shared" si="6"/>
        <v>#REF!</v>
      </c>
      <c r="AP19" s="2"/>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5"/>
      <c r="DA19" s="5"/>
      <c r="DB19" s="5"/>
      <c r="DC19" s="5"/>
      <c r="DD19" s="5"/>
      <c r="DE19" s="5"/>
      <c r="DF19" s="5"/>
      <c r="DG19" s="5"/>
    </row>
    <row r="20" spans="1:111" ht="15" x14ac:dyDescent="0.25">
      <c r="A20" s="17" t="e">
        <f>#REF!</f>
        <v>#REF!</v>
      </c>
      <c r="B20" s="17" t="s">
        <v>85</v>
      </c>
      <c r="C20" s="33" t="e">
        <f>#REF!</f>
        <v>#REF!</v>
      </c>
      <c r="D20" s="17" t="e">
        <f>#REF!</f>
        <v>#REF!</v>
      </c>
      <c r="E20" s="34" t="e">
        <f>#REF!</f>
        <v>#REF!</v>
      </c>
      <c r="F20" s="35" t="e">
        <f>#REF!</f>
        <v>#REF!</v>
      </c>
      <c r="G20" s="36" t="e">
        <f t="shared" si="0"/>
        <v>#REF!</v>
      </c>
      <c r="H20" s="37" t="e">
        <f t="shared" si="2"/>
        <v>#REF!</v>
      </c>
      <c r="I20" s="33" t="e">
        <f t="shared" si="7"/>
        <v>#REF!</v>
      </c>
      <c r="J20" s="38" t="e">
        <f t="shared" si="8"/>
        <v>#REF!</v>
      </c>
      <c r="K20" s="46" t="e">
        <f>#REF!</f>
        <v>#REF!</v>
      </c>
      <c r="L20" s="46" t="e">
        <f>#REF!</f>
        <v>#REF!</v>
      </c>
      <c r="M20" s="35" t="e">
        <f>#REF!</f>
        <v>#REF!</v>
      </c>
      <c r="N20" s="38" t="e">
        <f t="shared" si="1"/>
        <v>#REF!</v>
      </c>
      <c r="O20" s="47" t="e">
        <f t="shared" si="9"/>
        <v>#REF!</v>
      </c>
      <c r="P20" s="33" t="e">
        <f>#REF!</f>
        <v>#REF!</v>
      </c>
      <c r="Q20" s="33" t="e">
        <f>#REF!</f>
        <v>#REF!</v>
      </c>
      <c r="R20" s="33" t="e">
        <f>#REF!</f>
        <v>#REF!</v>
      </c>
      <c r="S20" s="46" t="e">
        <f>#REF!</f>
        <v>#REF!</v>
      </c>
      <c r="T20" s="38" t="e">
        <f t="shared" si="10"/>
        <v>#REF!</v>
      </c>
      <c r="U20" s="38" t="e">
        <f t="shared" si="3"/>
        <v>#REF!</v>
      </c>
      <c r="V20" s="38" t="e">
        <f t="shared" si="11"/>
        <v>#REF!</v>
      </c>
      <c r="W20" s="38">
        <v>0.18</v>
      </c>
      <c r="X20" s="48">
        <v>1.7</v>
      </c>
      <c r="Y20" s="49" t="e">
        <f t="shared" si="12"/>
        <v>#REF!</v>
      </c>
      <c r="Z20" s="50" t="e">
        <f t="shared" si="13"/>
        <v>#REF!</v>
      </c>
      <c r="AA20" s="48">
        <v>2</v>
      </c>
      <c r="AB20" s="49" t="e">
        <f t="shared" si="4"/>
        <v>#REF!</v>
      </c>
      <c r="AC20" s="46" t="e">
        <f t="shared" si="14"/>
        <v>#REF!</v>
      </c>
      <c r="AD20" s="38" t="e">
        <f t="shared" si="15"/>
        <v>#REF!</v>
      </c>
      <c r="AE20" s="38" t="e">
        <f t="shared" si="16"/>
        <v>#REF!</v>
      </c>
      <c r="AF20" s="38" t="e">
        <f t="shared" si="17"/>
        <v>#REF!</v>
      </c>
      <c r="AG20" s="38">
        <v>1.04</v>
      </c>
      <c r="AH20" s="29" t="e">
        <f t="shared" si="18"/>
        <v>#REF!</v>
      </c>
      <c r="AI20" s="38" t="e">
        <f t="shared" si="19"/>
        <v>#REF!</v>
      </c>
      <c r="AJ20" s="2"/>
      <c r="AK20" s="33" t="e">
        <f>#REF!</f>
        <v>#REF!</v>
      </c>
      <c r="AL20" s="17" t="e">
        <f>#REF!</f>
        <v>#REF!</v>
      </c>
      <c r="AM20" s="35" t="e">
        <f>#REF!</f>
        <v>#REF!</v>
      </c>
      <c r="AN20" s="36" t="e">
        <f t="shared" si="5"/>
        <v>#REF!</v>
      </c>
      <c r="AO20" s="37" t="e">
        <f t="shared" si="6"/>
        <v>#REF!</v>
      </c>
      <c r="AP20" s="2"/>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5"/>
      <c r="DA20" s="5"/>
      <c r="DB20" s="5"/>
      <c r="DC20" s="5"/>
      <c r="DD20" s="5"/>
      <c r="DE20" s="5"/>
      <c r="DF20" s="5"/>
      <c r="DG20" s="5"/>
    </row>
    <row r="21" spans="1:111" ht="15" x14ac:dyDescent="0.25">
      <c r="A21" s="17" t="e">
        <f>#REF!</f>
        <v>#REF!</v>
      </c>
      <c r="B21" s="17" t="s">
        <v>86</v>
      </c>
      <c r="C21" s="33" t="e">
        <f>#REF!</f>
        <v>#REF!</v>
      </c>
      <c r="D21" s="17" t="e">
        <f>#REF!</f>
        <v>#REF!</v>
      </c>
      <c r="E21" s="34" t="e">
        <f>#REF!</f>
        <v>#REF!</v>
      </c>
      <c r="F21" s="35" t="e">
        <f>#REF!</f>
        <v>#REF!</v>
      </c>
      <c r="G21" s="36" t="e">
        <f t="shared" si="0"/>
        <v>#REF!</v>
      </c>
      <c r="H21" s="37" t="e">
        <f t="shared" si="2"/>
        <v>#REF!</v>
      </c>
      <c r="I21" s="33" t="e">
        <f t="shared" si="7"/>
        <v>#REF!</v>
      </c>
      <c r="J21" s="38" t="e">
        <f t="shared" si="8"/>
        <v>#REF!</v>
      </c>
      <c r="K21" s="46" t="e">
        <f>#REF!</f>
        <v>#REF!</v>
      </c>
      <c r="L21" s="46" t="e">
        <f>#REF!</f>
        <v>#REF!</v>
      </c>
      <c r="M21" s="35" t="e">
        <f>#REF!</f>
        <v>#REF!</v>
      </c>
      <c r="N21" s="38" t="e">
        <f t="shared" si="1"/>
        <v>#REF!</v>
      </c>
      <c r="O21" s="47" t="e">
        <f t="shared" si="9"/>
        <v>#REF!</v>
      </c>
      <c r="P21" s="33" t="e">
        <f>#REF!</f>
        <v>#REF!</v>
      </c>
      <c r="Q21" s="33" t="e">
        <f>#REF!</f>
        <v>#REF!</v>
      </c>
      <c r="R21" s="33" t="e">
        <f>#REF!</f>
        <v>#REF!</v>
      </c>
      <c r="S21" s="46" t="e">
        <f>#REF!</f>
        <v>#REF!</v>
      </c>
      <c r="T21" s="38" t="e">
        <f t="shared" si="10"/>
        <v>#REF!</v>
      </c>
      <c r="U21" s="38" t="e">
        <f t="shared" si="3"/>
        <v>#REF!</v>
      </c>
      <c r="V21" s="38" t="e">
        <f t="shared" si="11"/>
        <v>#REF!</v>
      </c>
      <c r="W21" s="38">
        <v>0.28000000000000003</v>
      </c>
      <c r="X21" s="48">
        <v>1.4</v>
      </c>
      <c r="Y21" s="49" t="e">
        <f t="shared" si="12"/>
        <v>#REF!</v>
      </c>
      <c r="Z21" s="50" t="e">
        <f t="shared" si="13"/>
        <v>#REF!</v>
      </c>
      <c r="AA21" s="48">
        <v>2</v>
      </c>
      <c r="AB21" s="49" t="e">
        <f t="shared" si="4"/>
        <v>#REF!</v>
      </c>
      <c r="AC21" s="46" t="e">
        <f t="shared" si="14"/>
        <v>#REF!</v>
      </c>
      <c r="AD21" s="38" t="e">
        <f t="shared" si="15"/>
        <v>#REF!</v>
      </c>
      <c r="AE21" s="38" t="e">
        <f t="shared" si="16"/>
        <v>#REF!</v>
      </c>
      <c r="AF21" s="38" t="e">
        <f t="shared" si="17"/>
        <v>#REF!</v>
      </c>
      <c r="AG21" s="38">
        <v>1.04</v>
      </c>
      <c r="AH21" s="29" t="e">
        <f t="shared" si="18"/>
        <v>#REF!</v>
      </c>
      <c r="AI21" s="38" t="e">
        <f t="shared" si="19"/>
        <v>#REF!</v>
      </c>
      <c r="AJ21" s="2"/>
      <c r="AK21" s="33" t="e">
        <f>#REF!</f>
        <v>#REF!</v>
      </c>
      <c r="AL21" s="17" t="e">
        <f>#REF!</f>
        <v>#REF!</v>
      </c>
      <c r="AM21" s="35" t="e">
        <f>#REF!</f>
        <v>#REF!</v>
      </c>
      <c r="AN21" s="36" t="e">
        <f t="shared" si="5"/>
        <v>#REF!</v>
      </c>
      <c r="AO21" s="37" t="e">
        <f t="shared" si="6"/>
        <v>#REF!</v>
      </c>
      <c r="AP21" s="2"/>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5"/>
      <c r="DA21" s="5"/>
      <c r="DB21" s="5"/>
      <c r="DC21" s="5"/>
      <c r="DD21" s="5"/>
      <c r="DE21" s="5"/>
      <c r="DF21" s="5"/>
      <c r="DG21" s="5"/>
    </row>
    <row r="22" spans="1:111" ht="15" x14ac:dyDescent="0.25">
      <c r="A22" s="17" t="e">
        <f>#REF!</f>
        <v>#REF!</v>
      </c>
      <c r="B22" s="17" t="s">
        <v>114</v>
      </c>
      <c r="C22" s="33" t="e">
        <f>#REF!</f>
        <v>#REF!</v>
      </c>
      <c r="D22" s="17" t="e">
        <f>#REF!</f>
        <v>#REF!</v>
      </c>
      <c r="E22" s="34" t="e">
        <f>#REF!</f>
        <v>#REF!</v>
      </c>
      <c r="F22" s="35" t="e">
        <f>#REF!</f>
        <v>#REF!</v>
      </c>
      <c r="G22" s="36" t="e">
        <f t="shared" si="0"/>
        <v>#REF!</v>
      </c>
      <c r="H22" s="37" t="e">
        <f t="shared" si="2"/>
        <v>#REF!</v>
      </c>
      <c r="I22" s="33" t="e">
        <f t="shared" si="7"/>
        <v>#REF!</v>
      </c>
      <c r="J22" s="38" t="e">
        <f t="shared" si="8"/>
        <v>#REF!</v>
      </c>
      <c r="K22" s="46" t="e">
        <f>#REF!</f>
        <v>#REF!</v>
      </c>
      <c r="L22" s="46" t="e">
        <f>#REF!</f>
        <v>#REF!</v>
      </c>
      <c r="M22" s="35" t="e">
        <f>#REF!</f>
        <v>#REF!</v>
      </c>
      <c r="N22" s="38" t="e">
        <f>(K22*L22*M22)/8.25</f>
        <v>#REF!</v>
      </c>
      <c r="O22" s="47" t="e">
        <f t="shared" si="9"/>
        <v>#REF!</v>
      </c>
      <c r="P22" s="33" t="e">
        <f>#REF!</f>
        <v>#REF!</v>
      </c>
      <c r="Q22" s="33" t="e">
        <f>#REF!</f>
        <v>#REF!</v>
      </c>
      <c r="R22" s="33" t="e">
        <f>#REF!</f>
        <v>#REF!</v>
      </c>
      <c r="S22" s="46" t="e">
        <f>#REF!</f>
        <v>#REF!</v>
      </c>
      <c r="T22" s="38" t="e">
        <f t="shared" si="10"/>
        <v>#REF!</v>
      </c>
      <c r="U22" s="38" t="e">
        <f t="shared" si="3"/>
        <v>#REF!</v>
      </c>
      <c r="V22" s="38" t="e">
        <f t="shared" si="11"/>
        <v>#REF!</v>
      </c>
      <c r="W22" s="38">
        <v>0.27</v>
      </c>
      <c r="X22" s="48">
        <v>1.4</v>
      </c>
      <c r="Y22" s="49" t="e">
        <f t="shared" si="12"/>
        <v>#REF!</v>
      </c>
      <c r="Z22" s="50" t="e">
        <f t="shared" si="13"/>
        <v>#REF!</v>
      </c>
      <c r="AA22" s="48">
        <v>2</v>
      </c>
      <c r="AB22" s="49" t="e">
        <f t="shared" si="4"/>
        <v>#REF!</v>
      </c>
      <c r="AC22" s="46" t="e">
        <f t="shared" si="14"/>
        <v>#REF!</v>
      </c>
      <c r="AD22" s="38" t="e">
        <f t="shared" si="15"/>
        <v>#REF!</v>
      </c>
      <c r="AE22" s="38" t="e">
        <f t="shared" si="16"/>
        <v>#REF!</v>
      </c>
      <c r="AF22" s="38" t="e">
        <f t="shared" si="17"/>
        <v>#REF!</v>
      </c>
      <c r="AG22" s="38">
        <v>1.04</v>
      </c>
      <c r="AH22" s="29" t="e">
        <f t="shared" si="18"/>
        <v>#REF!</v>
      </c>
      <c r="AI22" s="38" t="e">
        <f t="shared" si="19"/>
        <v>#REF!</v>
      </c>
      <c r="AJ22" s="2"/>
      <c r="AK22" s="33" t="e">
        <f>#REF!</f>
        <v>#REF!</v>
      </c>
      <c r="AL22" s="17" t="e">
        <f>#REF!</f>
        <v>#REF!</v>
      </c>
      <c r="AM22" s="35" t="e">
        <f>#REF!</f>
        <v>#REF!</v>
      </c>
      <c r="AN22" s="36" t="e">
        <f t="shared" si="5"/>
        <v>#REF!</v>
      </c>
      <c r="AO22" s="37" t="e">
        <f t="shared" si="6"/>
        <v>#REF!</v>
      </c>
      <c r="AP22" s="2"/>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5"/>
      <c r="DA22" s="5"/>
      <c r="DB22" s="5"/>
      <c r="DC22" s="5"/>
      <c r="DD22" s="5"/>
      <c r="DE22" s="5"/>
      <c r="DF22" s="5"/>
      <c r="DG22" s="5"/>
    </row>
    <row r="23" spans="1:111" ht="15" x14ac:dyDescent="0.25">
      <c r="A23" s="17" t="e">
        <f>#REF!</f>
        <v>#REF!</v>
      </c>
      <c r="B23" s="17" t="s">
        <v>74</v>
      </c>
      <c r="C23" s="33" t="e">
        <f>#REF!</f>
        <v>#REF!</v>
      </c>
      <c r="D23" s="17" t="e">
        <f>#REF!</f>
        <v>#REF!</v>
      </c>
      <c r="E23" s="34" t="e">
        <f>#REF!</f>
        <v>#REF!</v>
      </c>
      <c r="F23" s="35" t="e">
        <f>#REF!</f>
        <v>#REF!</v>
      </c>
      <c r="G23" s="36" t="e">
        <f t="shared" si="0"/>
        <v>#REF!</v>
      </c>
      <c r="H23" s="37" t="e">
        <f t="shared" si="2"/>
        <v>#REF!</v>
      </c>
      <c r="I23" s="33" t="e">
        <f t="shared" si="7"/>
        <v>#REF!</v>
      </c>
      <c r="J23" s="38" t="e">
        <f t="shared" si="8"/>
        <v>#REF!</v>
      </c>
      <c r="K23" s="46" t="e">
        <f>#REF!</f>
        <v>#REF!</v>
      </c>
      <c r="L23" s="46" t="e">
        <f>#REF!</f>
        <v>#REF!</v>
      </c>
      <c r="M23" s="35" t="e">
        <f>#REF!</f>
        <v>#REF!</v>
      </c>
      <c r="N23" s="38" t="e">
        <f>(K23*L23*M23)/8.25</f>
        <v>#REF!</v>
      </c>
      <c r="O23" s="47" t="e">
        <f t="shared" si="9"/>
        <v>#REF!</v>
      </c>
      <c r="P23" s="33" t="e">
        <f>#REF!</f>
        <v>#REF!</v>
      </c>
      <c r="Q23" s="33" t="e">
        <f>#REF!</f>
        <v>#REF!</v>
      </c>
      <c r="R23" s="33" t="e">
        <f>#REF!</f>
        <v>#REF!</v>
      </c>
      <c r="S23" s="46" t="e">
        <f>#REF!</f>
        <v>#REF!</v>
      </c>
      <c r="T23" s="38" t="e">
        <f t="shared" si="10"/>
        <v>#REF!</v>
      </c>
      <c r="U23" s="38" t="e">
        <f t="shared" si="3"/>
        <v>#REF!</v>
      </c>
      <c r="V23" s="38" t="e">
        <f t="shared" si="11"/>
        <v>#REF!</v>
      </c>
      <c r="W23" s="38">
        <v>0.16</v>
      </c>
      <c r="X23" s="48">
        <v>1.3</v>
      </c>
      <c r="Y23" s="49" t="e">
        <f t="shared" si="12"/>
        <v>#REF!</v>
      </c>
      <c r="Z23" s="50" t="e">
        <f t="shared" si="13"/>
        <v>#REF!</v>
      </c>
      <c r="AA23" s="48">
        <v>2</v>
      </c>
      <c r="AB23" s="49" t="e">
        <f t="shared" si="4"/>
        <v>#REF!</v>
      </c>
      <c r="AC23" s="46" t="e">
        <f t="shared" si="14"/>
        <v>#REF!</v>
      </c>
      <c r="AD23" s="38" t="e">
        <f t="shared" si="15"/>
        <v>#REF!</v>
      </c>
      <c r="AE23" s="38" t="e">
        <f t="shared" si="16"/>
        <v>#REF!</v>
      </c>
      <c r="AF23" s="38" t="e">
        <f t="shared" si="17"/>
        <v>#REF!</v>
      </c>
      <c r="AG23" s="38">
        <v>1.04</v>
      </c>
      <c r="AH23" s="29" t="e">
        <f t="shared" si="18"/>
        <v>#REF!</v>
      </c>
      <c r="AI23" s="38" t="e">
        <f t="shared" si="19"/>
        <v>#REF!</v>
      </c>
      <c r="AJ23" s="2"/>
      <c r="AK23" s="33" t="e">
        <f>#REF!</f>
        <v>#REF!</v>
      </c>
      <c r="AL23" s="17" t="e">
        <f>#REF!</f>
        <v>#REF!</v>
      </c>
      <c r="AM23" s="35" t="e">
        <f>#REF!</f>
        <v>#REF!</v>
      </c>
      <c r="AN23" s="36" t="e">
        <f t="shared" si="5"/>
        <v>#REF!</v>
      </c>
      <c r="AO23" s="37" t="e">
        <f t="shared" si="6"/>
        <v>#REF!</v>
      </c>
      <c r="AP23" s="2"/>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5"/>
      <c r="DA23" s="5"/>
      <c r="DB23" s="5"/>
      <c r="DC23" s="5"/>
      <c r="DD23" s="5"/>
      <c r="DE23" s="5"/>
      <c r="DF23" s="5"/>
      <c r="DG23" s="5"/>
    </row>
    <row r="24" spans="1:111" ht="15" x14ac:dyDescent="0.25">
      <c r="A24" s="17" t="e">
        <f>#REF!</f>
        <v>#REF!</v>
      </c>
      <c r="B24" s="17" t="s">
        <v>74</v>
      </c>
      <c r="C24" s="33" t="e">
        <f>#REF!</f>
        <v>#REF!</v>
      </c>
      <c r="D24" s="17" t="e">
        <f>#REF!</f>
        <v>#REF!</v>
      </c>
      <c r="E24" s="34" t="e">
        <f>#REF!</f>
        <v>#REF!</v>
      </c>
      <c r="F24" s="35" t="e">
        <f>#REF!</f>
        <v>#REF!</v>
      </c>
      <c r="G24" s="36" t="e">
        <f t="shared" si="0"/>
        <v>#REF!</v>
      </c>
      <c r="H24" s="37" t="e">
        <f t="shared" si="2"/>
        <v>#REF!</v>
      </c>
      <c r="I24" s="33" t="e">
        <f>((C24-(F24*C24))*H24)+(G24*(F24*C24))</f>
        <v>#REF!</v>
      </c>
      <c r="J24" s="38" t="e">
        <f>I24/D24</f>
        <v>#REF!</v>
      </c>
      <c r="K24" s="46" t="e">
        <f>#REF!</f>
        <v>#REF!</v>
      </c>
      <c r="L24" s="46" t="e">
        <f>#REF!</f>
        <v>#REF!</v>
      </c>
      <c r="M24" s="35" t="e">
        <f>#REF!</f>
        <v>#REF!</v>
      </c>
      <c r="N24" s="38" t="e">
        <f>(K24*L24*M24)/8.25</f>
        <v>#REF!</v>
      </c>
      <c r="O24" s="47" t="e">
        <f>1/N24</f>
        <v>#REF!</v>
      </c>
      <c r="P24" s="33" t="e">
        <f>#REF!</f>
        <v>#REF!</v>
      </c>
      <c r="Q24" s="33" t="e">
        <f>#REF!</f>
        <v>#REF!</v>
      </c>
      <c r="R24" s="33" t="e">
        <f>#REF!</f>
        <v>#REF!</v>
      </c>
      <c r="S24" s="46" t="e">
        <f>#REF!</f>
        <v>#REF!</v>
      </c>
      <c r="T24" s="38" t="e">
        <f>J24*O24*S24</f>
        <v>#REF!</v>
      </c>
      <c r="U24" s="38" t="e">
        <f t="shared" si="3"/>
        <v>#REF!</v>
      </c>
      <c r="V24" s="38" t="e">
        <f>U24*O24*S24</f>
        <v>#REF!</v>
      </c>
      <c r="W24" s="38">
        <v>0.16</v>
      </c>
      <c r="X24" s="48">
        <v>1.3</v>
      </c>
      <c r="Y24" s="49" t="e">
        <f>(C24*W24*(((E24*D24)/1000)^X24)/(E24*D24))*O24*S24</f>
        <v>#REF!</v>
      </c>
      <c r="Z24" s="50" t="e">
        <f>IF(Q24=4,0.003,0.007)</f>
        <v>#REF!</v>
      </c>
      <c r="AA24" s="48">
        <v>2</v>
      </c>
      <c r="AB24" s="49" t="e">
        <f t="shared" si="4"/>
        <v>#REF!</v>
      </c>
      <c r="AC24" s="46" t="e">
        <f>0.044*R24</f>
        <v>#REF!</v>
      </c>
      <c r="AD24" s="38" t="e">
        <f>AC24*O24*$AE$11*S24</f>
        <v>#REF!</v>
      </c>
      <c r="AE24" s="38" t="e">
        <f>AD24*0.1</f>
        <v>#REF!</v>
      </c>
      <c r="AF24" s="38" t="e">
        <f>SUM(AD24:AE24)</f>
        <v>#REF!</v>
      </c>
      <c r="AG24" s="38">
        <v>1.04</v>
      </c>
      <c r="AH24" s="29" t="e">
        <f>O24*S24*AG24</f>
        <v>#REF!</v>
      </c>
      <c r="AI24" s="38" t="e">
        <f>AH24*$AH$11</f>
        <v>#REF!</v>
      </c>
      <c r="AJ24" s="2"/>
      <c r="AK24" s="33" t="e">
        <f>#REF!</f>
        <v>#REF!</v>
      </c>
      <c r="AL24" s="17" t="e">
        <f>#REF!</f>
        <v>#REF!</v>
      </c>
      <c r="AM24" s="35" t="e">
        <f>#REF!</f>
        <v>#REF!</v>
      </c>
      <c r="AN24" s="36" t="e">
        <f t="shared" si="5"/>
        <v>#REF!</v>
      </c>
      <c r="AO24" s="37" t="e">
        <f t="shared" si="6"/>
        <v>#REF!</v>
      </c>
      <c r="AP24" s="2"/>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5"/>
      <c r="DA24" s="5"/>
      <c r="DB24" s="5"/>
      <c r="DC24" s="5"/>
      <c r="DD24" s="5"/>
      <c r="DE24" s="5"/>
      <c r="DF24" s="5"/>
      <c r="DG24" s="5"/>
    </row>
    <row r="25" spans="1:111" ht="15" x14ac:dyDescent="0.25">
      <c r="A25" s="17" t="e">
        <f>#REF!</f>
        <v>#REF!</v>
      </c>
      <c r="B25" s="17" t="s">
        <v>86</v>
      </c>
      <c r="C25" s="33" t="e">
        <f>#REF!</f>
        <v>#REF!</v>
      </c>
      <c r="D25" s="17" t="e">
        <f>#REF!</f>
        <v>#REF!</v>
      </c>
      <c r="E25" s="34" t="e">
        <f>#REF!</f>
        <v>#REF!</v>
      </c>
      <c r="F25" s="35" t="e">
        <f>#REF!</f>
        <v>#REF!</v>
      </c>
      <c r="G25" s="36" t="e">
        <f t="shared" si="0"/>
        <v>#REF!</v>
      </c>
      <c r="H25" s="37" t="e">
        <f t="shared" si="2"/>
        <v>#REF!</v>
      </c>
      <c r="I25" s="33" t="e">
        <f t="shared" si="7"/>
        <v>#REF!</v>
      </c>
      <c r="J25" s="38" t="e">
        <f t="shared" si="8"/>
        <v>#REF!</v>
      </c>
      <c r="K25" s="46" t="e">
        <f>#REF!</f>
        <v>#REF!</v>
      </c>
      <c r="L25" s="46" t="e">
        <f>#REF!</f>
        <v>#REF!</v>
      </c>
      <c r="M25" s="35" t="e">
        <f>#REF!</f>
        <v>#REF!</v>
      </c>
      <c r="N25" s="38" t="e">
        <f>((K25*L25*M25)/8.25)*((43560)^0.5)</f>
        <v>#REF!</v>
      </c>
      <c r="O25" s="47" t="e">
        <f t="shared" si="9"/>
        <v>#REF!</v>
      </c>
      <c r="P25" s="33" t="e">
        <f>#REF!</f>
        <v>#REF!</v>
      </c>
      <c r="Q25" s="33" t="e">
        <f>#REF!</f>
        <v>#REF!</v>
      </c>
      <c r="R25" s="33" t="e">
        <f>#REF!</f>
        <v>#REF!</v>
      </c>
      <c r="S25" s="46" t="e">
        <f>#REF!</f>
        <v>#REF!</v>
      </c>
      <c r="T25" s="38" t="e">
        <f t="shared" si="10"/>
        <v>#REF!</v>
      </c>
      <c r="U25" s="38" t="e">
        <f t="shared" si="3"/>
        <v>#REF!</v>
      </c>
      <c r="V25" s="38" t="e">
        <f t="shared" si="11"/>
        <v>#REF!</v>
      </c>
      <c r="W25" s="38">
        <v>0.28000000000000003</v>
      </c>
      <c r="X25" s="48">
        <v>1.4</v>
      </c>
      <c r="Y25" s="49" t="e">
        <f t="shared" si="12"/>
        <v>#REF!</v>
      </c>
      <c r="Z25" s="50" t="e">
        <f t="shared" si="13"/>
        <v>#REF!</v>
      </c>
      <c r="AA25" s="48">
        <v>2</v>
      </c>
      <c r="AB25" s="49" t="e">
        <f t="shared" si="4"/>
        <v>#REF!</v>
      </c>
      <c r="AC25" s="46" t="e">
        <f t="shared" si="14"/>
        <v>#REF!</v>
      </c>
      <c r="AD25" s="38" t="e">
        <f t="shared" si="15"/>
        <v>#REF!</v>
      </c>
      <c r="AE25" s="38" t="e">
        <f t="shared" si="16"/>
        <v>#REF!</v>
      </c>
      <c r="AF25" s="38" t="e">
        <f t="shared" si="17"/>
        <v>#REF!</v>
      </c>
      <c r="AG25" s="38">
        <v>1.04</v>
      </c>
      <c r="AH25" s="29" t="e">
        <f t="shared" si="18"/>
        <v>#REF!</v>
      </c>
      <c r="AI25" s="38" t="e">
        <f t="shared" si="19"/>
        <v>#REF!</v>
      </c>
      <c r="AJ25" s="2"/>
      <c r="AK25" s="33" t="e">
        <f>#REF!</f>
        <v>#REF!</v>
      </c>
      <c r="AL25" s="17" t="e">
        <f>#REF!</f>
        <v>#REF!</v>
      </c>
      <c r="AM25" s="35" t="e">
        <f>#REF!</f>
        <v>#REF!</v>
      </c>
      <c r="AN25" s="36" t="e">
        <f t="shared" si="5"/>
        <v>#REF!</v>
      </c>
      <c r="AO25" s="37" t="e">
        <f t="shared" si="6"/>
        <v>#REF!</v>
      </c>
      <c r="AP25" s="2"/>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5"/>
      <c r="DA25" s="5"/>
      <c r="DB25" s="5"/>
      <c r="DC25" s="5"/>
      <c r="DD25" s="5"/>
      <c r="DE25" s="5"/>
      <c r="DF25" s="5"/>
      <c r="DG25" s="5"/>
    </row>
    <row r="26" spans="1:111" ht="15" x14ac:dyDescent="0.25">
      <c r="A26" s="17" t="e">
        <f>#REF!</f>
        <v>#REF!</v>
      </c>
      <c r="B26" s="17" t="s">
        <v>120</v>
      </c>
      <c r="C26" s="33" t="e">
        <f>#REF!</f>
        <v>#REF!</v>
      </c>
      <c r="D26" s="17" t="e">
        <f>#REF!</f>
        <v>#REF!</v>
      </c>
      <c r="E26" s="34" t="e">
        <f>#REF!</f>
        <v>#REF!</v>
      </c>
      <c r="F26" s="35" t="e">
        <f>#REF!</f>
        <v>#REF!</v>
      </c>
      <c r="G26" s="36" t="e">
        <f t="shared" si="0"/>
        <v>#REF!</v>
      </c>
      <c r="H26" s="37" t="e">
        <f t="shared" si="2"/>
        <v>#REF!</v>
      </c>
      <c r="I26" s="33" t="e">
        <f>((C26-(F26*C26))*H26)+(G26*(F26*C26))</f>
        <v>#REF!</v>
      </c>
      <c r="J26" s="38" t="e">
        <f>I26/D26</f>
        <v>#REF!</v>
      </c>
      <c r="K26" s="46" t="e">
        <f>#REF!</f>
        <v>#REF!</v>
      </c>
      <c r="L26" s="46" t="e">
        <f>#REF!</f>
        <v>#REF!</v>
      </c>
      <c r="M26" s="35" t="e">
        <f>#REF!</f>
        <v>#REF!</v>
      </c>
      <c r="N26" s="38" t="e">
        <f>(K26*L26*M26)/8.25</f>
        <v>#REF!</v>
      </c>
      <c r="O26" s="47" t="e">
        <f>1/N26</f>
        <v>#REF!</v>
      </c>
      <c r="P26" s="33" t="e">
        <f>#REF!</f>
        <v>#REF!</v>
      </c>
      <c r="Q26" s="33" t="e">
        <f>#REF!</f>
        <v>#REF!</v>
      </c>
      <c r="R26" s="33" t="e">
        <f>#REF!</f>
        <v>#REF!</v>
      </c>
      <c r="S26" s="46" t="e">
        <f>#REF!</f>
        <v>#REF!</v>
      </c>
      <c r="T26" s="38" t="e">
        <f>J26*O26*S26</f>
        <v>#REF!</v>
      </c>
      <c r="U26" s="38" t="e">
        <f t="shared" si="3"/>
        <v>#REF!</v>
      </c>
      <c r="V26" s="38" t="e">
        <f>U26*O26*S26</f>
        <v>#REF!</v>
      </c>
      <c r="W26" s="38">
        <v>0.23</v>
      </c>
      <c r="X26" s="48">
        <v>1.4</v>
      </c>
      <c r="Y26" s="49" t="e">
        <f>(C26*W26*(((E26*D26)/1000)^X26)/(E26*D26))*O26*S26</f>
        <v>#REF!</v>
      </c>
      <c r="Z26" s="50" t="e">
        <f>IF(Q26=4,0.003,0.007)</f>
        <v>#REF!</v>
      </c>
      <c r="AA26" s="48">
        <v>2</v>
      </c>
      <c r="AB26" s="49" t="e">
        <f t="shared" si="4"/>
        <v>#REF!</v>
      </c>
      <c r="AC26" s="46" t="e">
        <f>0.044*R26</f>
        <v>#REF!</v>
      </c>
      <c r="AD26" s="38" t="e">
        <f>AC26*O26*$AE$11*S26</f>
        <v>#REF!</v>
      </c>
      <c r="AE26" s="38" t="e">
        <f>AD26*0.1</f>
        <v>#REF!</v>
      </c>
      <c r="AF26" s="38" t="e">
        <f>SUM(AD26:AE26)</f>
        <v>#REF!</v>
      </c>
      <c r="AG26" s="38">
        <v>1.04</v>
      </c>
      <c r="AH26" s="29" t="e">
        <f>O26*S26*AG26</f>
        <v>#REF!</v>
      </c>
      <c r="AI26" s="38" t="e">
        <f>AH26*$AH$11</f>
        <v>#REF!</v>
      </c>
      <c r="AJ26" s="2"/>
      <c r="AK26" s="33" t="e">
        <f>#REF!</f>
        <v>#REF!</v>
      </c>
      <c r="AL26" s="17" t="e">
        <f>#REF!</f>
        <v>#REF!</v>
      </c>
      <c r="AM26" s="35" t="e">
        <f>#REF!</f>
        <v>#REF!</v>
      </c>
      <c r="AN26" s="36" t="e">
        <f t="shared" si="5"/>
        <v>#REF!</v>
      </c>
      <c r="AO26" s="37" t="e">
        <f t="shared" si="6"/>
        <v>#REF!</v>
      </c>
      <c r="AP26" s="2"/>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5"/>
      <c r="DA26" s="5"/>
      <c r="DB26" s="5"/>
      <c r="DC26" s="5"/>
      <c r="DD26" s="5"/>
      <c r="DE26" s="5"/>
      <c r="DF26" s="5"/>
      <c r="DG26" s="5"/>
    </row>
    <row r="27" spans="1:111" ht="15" x14ac:dyDescent="0.25">
      <c r="A27" s="17" t="e">
        <f>#REF!</f>
        <v>#REF!</v>
      </c>
      <c r="B27" s="17" t="s">
        <v>10</v>
      </c>
      <c r="C27" s="33" t="e">
        <f>#REF!</f>
        <v>#REF!</v>
      </c>
      <c r="D27" s="17" t="e">
        <f>#REF!</f>
        <v>#REF!</v>
      </c>
      <c r="E27" s="34" t="e">
        <f>#REF!</f>
        <v>#REF!</v>
      </c>
      <c r="F27" s="35" t="e">
        <f>#REF!</f>
        <v>#REF!</v>
      </c>
      <c r="G27" s="36" t="e">
        <f t="shared" si="0"/>
        <v>#REF!</v>
      </c>
      <c r="H27" s="37" t="e">
        <f>(G27*(1+G27)^E27)/((1+G27)^E27-1)</f>
        <v>#REF!</v>
      </c>
      <c r="I27" s="33" t="e">
        <f>((C27-(F27*C27))*H27)+(G27*(F27*C27))</f>
        <v>#REF!</v>
      </c>
      <c r="J27" s="38" t="e">
        <f>I27/D27</f>
        <v>#REF!</v>
      </c>
      <c r="K27" s="46" t="e">
        <f>#REF!</f>
        <v>#REF!</v>
      </c>
      <c r="L27" s="46" t="e">
        <f>#REF!</f>
        <v>#REF!</v>
      </c>
      <c r="M27" s="35" t="e">
        <f>#REF!</f>
        <v>#REF!</v>
      </c>
      <c r="N27" s="38" t="e">
        <f>(K27*L27*M27)/8.25</f>
        <v>#REF!</v>
      </c>
      <c r="O27" s="47" t="e">
        <f>1/N27</f>
        <v>#REF!</v>
      </c>
      <c r="P27" s="33" t="e">
        <f>#REF!</f>
        <v>#REF!</v>
      </c>
      <c r="Q27" s="33" t="e">
        <f>#REF!</f>
        <v>#REF!</v>
      </c>
      <c r="R27" s="33" t="e">
        <f>#REF!</f>
        <v>#REF!</v>
      </c>
      <c r="S27" s="46" t="e">
        <f>#REF!</f>
        <v>#REF!</v>
      </c>
      <c r="T27" s="38" t="e">
        <f>J27*O27*S27</f>
        <v>#REF!</v>
      </c>
      <c r="U27" s="38" t="e">
        <f t="shared" si="3"/>
        <v>#REF!</v>
      </c>
      <c r="V27" s="38" t="e">
        <f>U27*O27*S27</f>
        <v>#REF!</v>
      </c>
      <c r="W27" s="38">
        <v>0.23</v>
      </c>
      <c r="X27" s="48">
        <v>1.4</v>
      </c>
      <c r="Y27" s="49" t="e">
        <f>(C27*W27*(((E27*D27)/1000)^X27)/(E27*D27))*O27*S27</f>
        <v>#REF!</v>
      </c>
      <c r="Z27" s="50" t="e">
        <f>IF(Q27=4,0.003,0.007)</f>
        <v>#REF!</v>
      </c>
      <c r="AA27" s="48">
        <v>2</v>
      </c>
      <c r="AB27" s="49" t="e">
        <f t="shared" si="4"/>
        <v>#REF!</v>
      </c>
      <c r="AC27" s="46" t="e">
        <f>0.044*R27</f>
        <v>#REF!</v>
      </c>
      <c r="AD27" s="38" t="e">
        <f>AC27*O27*$AE$11*S27</f>
        <v>#REF!</v>
      </c>
      <c r="AE27" s="38" t="e">
        <f>AD27*0.1</f>
        <v>#REF!</v>
      </c>
      <c r="AF27" s="38" t="e">
        <f>SUM(AD27:AE27)</f>
        <v>#REF!</v>
      </c>
      <c r="AG27" s="38">
        <v>1.04</v>
      </c>
      <c r="AH27" s="29" t="e">
        <f>O27*S27*AG27</f>
        <v>#REF!</v>
      </c>
      <c r="AI27" s="38" t="e">
        <f>AH27*$AH$11</f>
        <v>#REF!</v>
      </c>
      <c r="AJ27" s="2"/>
      <c r="AK27" s="33" t="e">
        <f>#REF!</f>
        <v>#REF!</v>
      </c>
      <c r="AL27" s="17" t="e">
        <f>#REF!</f>
        <v>#REF!</v>
      </c>
      <c r="AM27" s="35" t="e">
        <f>#REF!</f>
        <v>#REF!</v>
      </c>
      <c r="AN27" s="36" t="e">
        <f t="shared" si="5"/>
        <v>#REF!</v>
      </c>
      <c r="AO27" s="37" t="e">
        <f t="shared" si="6"/>
        <v>#REF!</v>
      </c>
      <c r="AP27" s="2"/>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5"/>
      <c r="DA27" s="5"/>
      <c r="DB27" s="5"/>
      <c r="DC27" s="5"/>
      <c r="DD27" s="5"/>
      <c r="DE27" s="5"/>
      <c r="DF27" s="5"/>
      <c r="DG27" s="5"/>
    </row>
    <row r="28" spans="1:111" ht="15" x14ac:dyDescent="0.25">
      <c r="A28" s="17" t="e">
        <f>#REF!</f>
        <v>#REF!</v>
      </c>
      <c r="B28" s="17" t="s">
        <v>199</v>
      </c>
      <c r="C28" s="33" t="e">
        <f>#REF!</f>
        <v>#REF!</v>
      </c>
      <c r="D28" s="17" t="e">
        <f>#REF!</f>
        <v>#REF!</v>
      </c>
      <c r="E28" s="34" t="e">
        <f>#REF!</f>
        <v>#REF!</v>
      </c>
      <c r="F28" s="35" t="e">
        <f>#REF!</f>
        <v>#REF!</v>
      </c>
      <c r="G28" s="36" t="e">
        <f t="shared" si="0"/>
        <v>#REF!</v>
      </c>
      <c r="H28" s="37" t="e">
        <f t="shared" si="2"/>
        <v>#REF!</v>
      </c>
      <c r="I28" s="33" t="e">
        <f t="shared" si="7"/>
        <v>#REF!</v>
      </c>
      <c r="J28" s="38" t="e">
        <f t="shared" si="8"/>
        <v>#REF!</v>
      </c>
      <c r="K28" s="46" t="e">
        <f>#REF!</f>
        <v>#REF!</v>
      </c>
      <c r="L28" s="46" t="e">
        <f>#REF!</f>
        <v>#REF!</v>
      </c>
      <c r="M28" s="35" t="e">
        <f>#REF!</f>
        <v>#REF!</v>
      </c>
      <c r="N28" s="38" t="e">
        <f t="shared" ref="N28:N40" si="20">(K28*L28*M28)/8.25</f>
        <v>#REF!</v>
      </c>
      <c r="O28" s="47" t="e">
        <f t="shared" si="9"/>
        <v>#REF!</v>
      </c>
      <c r="P28" s="33" t="e">
        <f>#REF!</f>
        <v>#REF!</v>
      </c>
      <c r="Q28" s="33" t="e">
        <f>#REF!</f>
        <v>#REF!</v>
      </c>
      <c r="R28" s="33" t="e">
        <f>#REF!</f>
        <v>#REF!</v>
      </c>
      <c r="S28" s="46" t="e">
        <f>#REF!</f>
        <v>#REF!</v>
      </c>
      <c r="T28" s="38" t="e">
        <f t="shared" si="10"/>
        <v>#REF!</v>
      </c>
      <c r="U28" s="38" t="e">
        <f t="shared" si="3"/>
        <v>#REF!</v>
      </c>
      <c r="V28" s="38" t="e">
        <f t="shared" si="11"/>
        <v>#REF!</v>
      </c>
      <c r="W28" s="38">
        <v>0.27</v>
      </c>
      <c r="X28" s="48">
        <v>1.4</v>
      </c>
      <c r="Y28" s="49" t="e">
        <f t="shared" si="12"/>
        <v>#REF!</v>
      </c>
      <c r="Z28" s="50" t="e">
        <f t="shared" si="13"/>
        <v>#REF!</v>
      </c>
      <c r="AA28" s="48">
        <v>2</v>
      </c>
      <c r="AB28" s="49" t="e">
        <f t="shared" si="4"/>
        <v>#REF!</v>
      </c>
      <c r="AC28" s="46" t="e">
        <f t="shared" si="14"/>
        <v>#REF!</v>
      </c>
      <c r="AD28" s="38" t="e">
        <f t="shared" si="15"/>
        <v>#REF!</v>
      </c>
      <c r="AE28" s="38" t="e">
        <f t="shared" si="16"/>
        <v>#REF!</v>
      </c>
      <c r="AF28" s="38" t="e">
        <f t="shared" si="17"/>
        <v>#REF!</v>
      </c>
      <c r="AG28" s="38">
        <v>1.04</v>
      </c>
      <c r="AH28" s="29" t="e">
        <f t="shared" si="18"/>
        <v>#REF!</v>
      </c>
      <c r="AI28" s="38" t="e">
        <f t="shared" si="19"/>
        <v>#REF!</v>
      </c>
      <c r="AJ28" s="2"/>
      <c r="AK28" s="33" t="e">
        <f>#REF!</f>
        <v>#REF!</v>
      </c>
      <c r="AL28" s="17" t="e">
        <f>#REF!</f>
        <v>#REF!</v>
      </c>
      <c r="AM28" s="35" t="e">
        <f>#REF!</f>
        <v>#REF!</v>
      </c>
      <c r="AN28" s="36" t="e">
        <f t="shared" si="5"/>
        <v>#REF!</v>
      </c>
      <c r="AO28" s="37" t="e">
        <f t="shared" si="6"/>
        <v>#REF!</v>
      </c>
      <c r="AP28" s="2"/>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5"/>
      <c r="DA28" s="5"/>
      <c r="DB28" s="5"/>
      <c r="DC28" s="5"/>
      <c r="DD28" s="5"/>
      <c r="DE28" s="5"/>
      <c r="DF28" s="5"/>
      <c r="DG28" s="5"/>
    </row>
    <row r="29" spans="1:111" ht="15" x14ac:dyDescent="0.25">
      <c r="A29" s="17" t="e">
        <f>#REF!</f>
        <v>#REF!</v>
      </c>
      <c r="B29" s="17" t="s">
        <v>122</v>
      </c>
      <c r="C29" s="33" t="e">
        <f>#REF!</f>
        <v>#REF!</v>
      </c>
      <c r="D29" s="17" t="e">
        <f>#REF!</f>
        <v>#REF!</v>
      </c>
      <c r="E29" s="34" t="e">
        <f>#REF!</f>
        <v>#REF!</v>
      </c>
      <c r="F29" s="35" t="e">
        <f>#REF!</f>
        <v>#REF!</v>
      </c>
      <c r="G29" s="36" t="e">
        <f t="shared" si="0"/>
        <v>#REF!</v>
      </c>
      <c r="H29" s="37" t="e">
        <f t="shared" si="2"/>
        <v>#REF!</v>
      </c>
      <c r="I29" s="33" t="e">
        <f>((C29-(F29*C29))*H29)+(G29*(F29*C29))</f>
        <v>#REF!</v>
      </c>
      <c r="J29" s="38" t="e">
        <f>I29/D29</f>
        <v>#REF!</v>
      </c>
      <c r="K29" s="46" t="e">
        <f>#REF!</f>
        <v>#REF!</v>
      </c>
      <c r="L29" s="46">
        <v>5</v>
      </c>
      <c r="M29" s="35" t="e">
        <f>#REF!</f>
        <v>#REF!</v>
      </c>
      <c r="N29" s="38" t="e">
        <f>(K29*L29*M29)/8.25</f>
        <v>#REF!</v>
      </c>
      <c r="O29" s="47" t="e">
        <f>1/N29</f>
        <v>#REF!</v>
      </c>
      <c r="P29" s="33" t="e">
        <f>#REF!</f>
        <v>#REF!</v>
      </c>
      <c r="Q29" s="33" t="e">
        <f>#REF!</f>
        <v>#REF!</v>
      </c>
      <c r="R29" s="33" t="e">
        <f>#REF!</f>
        <v>#REF!</v>
      </c>
      <c r="S29" s="46" t="e">
        <f>#REF!</f>
        <v>#REF!</v>
      </c>
      <c r="T29" s="38" t="e">
        <f>J29*O29*S29</f>
        <v>#REF!</v>
      </c>
      <c r="U29" s="38" t="e">
        <f t="shared" si="3"/>
        <v>#REF!</v>
      </c>
      <c r="V29" s="38" t="e">
        <f>U29*O29*S29</f>
        <v>#REF!</v>
      </c>
      <c r="W29" s="38">
        <v>0.17</v>
      </c>
      <c r="X29" s="48">
        <v>2.2000000000000002</v>
      </c>
      <c r="Y29" s="49" t="e">
        <f>(C29*W29*(((E29*D29)/1000)^X29)/(E29*D29))*O29*S29</f>
        <v>#REF!</v>
      </c>
      <c r="Z29" s="50" t="e">
        <f>IF(Q29=4,0.003,0.007)</f>
        <v>#REF!</v>
      </c>
      <c r="AA29" s="48">
        <v>2</v>
      </c>
      <c r="AB29" s="49" t="e">
        <f t="shared" si="4"/>
        <v>#REF!</v>
      </c>
      <c r="AC29" s="46" t="e">
        <f>0.044*R29</f>
        <v>#REF!</v>
      </c>
      <c r="AD29" s="38" t="e">
        <f>AC29*O29*$AE$11*S29</f>
        <v>#REF!</v>
      </c>
      <c r="AE29" s="38" t="e">
        <f>AD29*0.1</f>
        <v>#REF!</v>
      </c>
      <c r="AF29" s="38" t="e">
        <f>SUM(AD29:AE29)</f>
        <v>#REF!</v>
      </c>
      <c r="AG29" s="38">
        <v>1.04</v>
      </c>
      <c r="AH29" s="29" t="e">
        <f>O29*S29*AG29</f>
        <v>#REF!</v>
      </c>
      <c r="AI29" s="38" t="e">
        <f>AH29*$AH$11</f>
        <v>#REF!</v>
      </c>
      <c r="AJ29" s="2"/>
      <c r="AK29" s="33" t="e">
        <f>#REF!</f>
        <v>#REF!</v>
      </c>
      <c r="AL29" s="17" t="e">
        <f>#REF!</f>
        <v>#REF!</v>
      </c>
      <c r="AM29" s="35" t="e">
        <f>#REF!</f>
        <v>#REF!</v>
      </c>
      <c r="AN29" s="36" t="e">
        <f t="shared" si="5"/>
        <v>#REF!</v>
      </c>
      <c r="AO29" s="37" t="e">
        <f t="shared" si="6"/>
        <v>#REF!</v>
      </c>
      <c r="AP29" s="2"/>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5"/>
      <c r="DA29" s="5"/>
      <c r="DB29" s="5"/>
      <c r="DC29" s="5"/>
      <c r="DD29" s="5"/>
      <c r="DE29" s="5"/>
      <c r="DF29" s="5"/>
      <c r="DG29" s="5"/>
    </row>
    <row r="30" spans="1:111" ht="15" x14ac:dyDescent="0.25">
      <c r="A30" s="17" t="e">
        <f>#REF!</f>
        <v>#REF!</v>
      </c>
      <c r="B30" s="17" t="s">
        <v>89</v>
      </c>
      <c r="C30" s="33" t="e">
        <f>#REF!</f>
        <v>#REF!</v>
      </c>
      <c r="D30" s="17" t="e">
        <f>#REF!</f>
        <v>#REF!</v>
      </c>
      <c r="E30" s="34" t="e">
        <f>#REF!</f>
        <v>#REF!</v>
      </c>
      <c r="F30" s="35" t="e">
        <f>#REF!</f>
        <v>#REF!</v>
      </c>
      <c r="G30" s="36" t="e">
        <f t="shared" si="0"/>
        <v>#REF!</v>
      </c>
      <c r="H30" s="37" t="e">
        <f t="shared" si="2"/>
        <v>#REF!</v>
      </c>
      <c r="I30" s="33" t="e">
        <f t="shared" si="7"/>
        <v>#REF!</v>
      </c>
      <c r="J30" s="38" t="e">
        <f t="shared" si="8"/>
        <v>#REF!</v>
      </c>
      <c r="K30" s="46" t="e">
        <f>#REF!</f>
        <v>#REF!</v>
      </c>
      <c r="L30" s="46" t="e">
        <f>#REF!</f>
        <v>#REF!</v>
      </c>
      <c r="M30" s="35" t="e">
        <f>#REF!</f>
        <v>#REF!</v>
      </c>
      <c r="N30" s="38" t="e">
        <f t="shared" si="20"/>
        <v>#REF!</v>
      </c>
      <c r="O30" s="47" t="e">
        <f t="shared" si="9"/>
        <v>#REF!</v>
      </c>
      <c r="P30" s="33" t="e">
        <f>#REF!</f>
        <v>#REF!</v>
      </c>
      <c r="Q30" s="33" t="e">
        <f>#REF!</f>
        <v>#REF!</v>
      </c>
      <c r="R30" s="33" t="e">
        <f>#REF!</f>
        <v>#REF!</v>
      </c>
      <c r="S30" s="46" t="e">
        <f>#REF!</f>
        <v>#REF!</v>
      </c>
      <c r="T30" s="38" t="e">
        <f t="shared" si="10"/>
        <v>#REF!</v>
      </c>
      <c r="U30" s="38" t="e">
        <f t="shared" si="3"/>
        <v>#REF!</v>
      </c>
      <c r="V30" s="38" t="e">
        <f t="shared" si="11"/>
        <v>#REF!</v>
      </c>
      <c r="W30" s="38">
        <v>0.41</v>
      </c>
      <c r="X30" s="48">
        <v>1.3</v>
      </c>
      <c r="Y30" s="49" t="e">
        <f t="shared" si="12"/>
        <v>#REF!</v>
      </c>
      <c r="Z30" s="50" t="e">
        <f t="shared" si="13"/>
        <v>#REF!</v>
      </c>
      <c r="AA30" s="48">
        <v>2</v>
      </c>
      <c r="AB30" s="49" t="e">
        <f t="shared" si="4"/>
        <v>#REF!</v>
      </c>
      <c r="AC30" s="46" t="e">
        <f t="shared" si="14"/>
        <v>#REF!</v>
      </c>
      <c r="AD30" s="38" t="e">
        <f t="shared" si="15"/>
        <v>#REF!</v>
      </c>
      <c r="AE30" s="38" t="e">
        <f t="shared" si="16"/>
        <v>#REF!</v>
      </c>
      <c r="AF30" s="38" t="e">
        <f t="shared" si="17"/>
        <v>#REF!</v>
      </c>
      <c r="AG30" s="38">
        <v>1.04</v>
      </c>
      <c r="AH30" s="29" t="e">
        <f t="shared" si="18"/>
        <v>#REF!</v>
      </c>
      <c r="AI30" s="38" t="e">
        <f t="shared" si="19"/>
        <v>#REF!</v>
      </c>
      <c r="AJ30" s="2"/>
      <c r="AK30" s="33" t="e">
        <f>#REF!</f>
        <v>#REF!</v>
      </c>
      <c r="AL30" s="17" t="e">
        <f>#REF!</f>
        <v>#REF!</v>
      </c>
      <c r="AM30" s="35" t="e">
        <f>#REF!</f>
        <v>#REF!</v>
      </c>
      <c r="AN30" s="36" t="e">
        <f t="shared" si="5"/>
        <v>#REF!</v>
      </c>
      <c r="AO30" s="37" t="e">
        <f t="shared" si="6"/>
        <v>#REF!</v>
      </c>
      <c r="AP30" s="2"/>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5"/>
      <c r="DA30" s="5"/>
      <c r="DB30" s="5"/>
      <c r="DC30" s="5"/>
      <c r="DD30" s="5"/>
      <c r="DE30" s="5"/>
      <c r="DF30" s="5"/>
      <c r="DG30" s="5"/>
    </row>
    <row r="31" spans="1:111" ht="15" x14ac:dyDescent="0.25">
      <c r="A31" s="17" t="e">
        <f>#REF!</f>
        <v>#REF!</v>
      </c>
      <c r="B31" s="17" t="s">
        <v>89</v>
      </c>
      <c r="C31" s="33" t="e">
        <f>#REF!</f>
        <v>#REF!</v>
      </c>
      <c r="D31" s="17" t="e">
        <f>#REF!</f>
        <v>#REF!</v>
      </c>
      <c r="E31" s="34" t="e">
        <f>#REF!</f>
        <v>#REF!</v>
      </c>
      <c r="F31" s="35" t="e">
        <f>#REF!</f>
        <v>#REF!</v>
      </c>
      <c r="G31" s="36" t="e">
        <f t="shared" si="0"/>
        <v>#REF!</v>
      </c>
      <c r="H31" s="37" t="e">
        <f>(G31*(1+G31)^E31)/((1+G31)^E31-1)</f>
        <v>#REF!</v>
      </c>
      <c r="I31" s="33" t="e">
        <f>((C31-(F31*C31))*H31)+(G31*(F31*C31))</f>
        <v>#REF!</v>
      </c>
      <c r="J31" s="38" t="e">
        <f>I31/D31</f>
        <v>#REF!</v>
      </c>
      <c r="K31" s="46" t="e">
        <f>#REF!</f>
        <v>#REF!</v>
      </c>
      <c r="L31" s="46" t="e">
        <f>#REF!</f>
        <v>#REF!</v>
      </c>
      <c r="M31" s="35" t="e">
        <f>#REF!</f>
        <v>#REF!</v>
      </c>
      <c r="N31" s="38" t="e">
        <f>(K31*L31*M31)/8.25</f>
        <v>#REF!</v>
      </c>
      <c r="O31" s="47" t="e">
        <f>1/N31</f>
        <v>#REF!</v>
      </c>
      <c r="P31" s="33" t="e">
        <f>#REF!</f>
        <v>#REF!</v>
      </c>
      <c r="Q31" s="33" t="e">
        <f>#REF!</f>
        <v>#REF!</v>
      </c>
      <c r="R31" s="33" t="e">
        <f>#REF!</f>
        <v>#REF!</v>
      </c>
      <c r="S31" s="46" t="e">
        <f>#REF!</f>
        <v>#REF!</v>
      </c>
      <c r="T31" s="38" t="e">
        <f>J31*O31*S31</f>
        <v>#REF!</v>
      </c>
      <c r="U31" s="38" t="e">
        <f>(((P31-(AM31*P31))*AO31)+(AN31*(AM31*P31)))/AK31</f>
        <v>#REF!</v>
      </c>
      <c r="V31" s="38" t="e">
        <f>U31*O31*S31</f>
        <v>#REF!</v>
      </c>
      <c r="W31" s="38">
        <v>0.41</v>
      </c>
      <c r="X31" s="48">
        <v>1.3</v>
      </c>
      <c r="Y31" s="49" t="e">
        <f>(C31*W31*(((E31*D31)/1000)^X31)/(E31*D31))*O31*S31</f>
        <v>#REF!</v>
      </c>
      <c r="Z31" s="50" t="e">
        <f>IF(Q31=4,0.003,0.007)</f>
        <v>#REF!</v>
      </c>
      <c r="AA31" s="48">
        <v>2</v>
      </c>
      <c r="AB31" s="49" t="e">
        <f>(P31*Z31*(((AL31*AK31)/1000)^AA31)/(AL31*AK31))*O31*S31</f>
        <v>#REF!</v>
      </c>
      <c r="AC31" s="46" t="e">
        <f>0.044*R31</f>
        <v>#REF!</v>
      </c>
      <c r="AD31" s="38" t="e">
        <f>AC31*O31*$AE$11*S31</f>
        <v>#REF!</v>
      </c>
      <c r="AE31" s="38" t="e">
        <f>AD31*0.1</f>
        <v>#REF!</v>
      </c>
      <c r="AF31" s="38" t="e">
        <f>SUM(AD31:AE31)</f>
        <v>#REF!</v>
      </c>
      <c r="AG31" s="38">
        <v>1.04</v>
      </c>
      <c r="AH31" s="29" t="e">
        <f>O31*S31*AG31</f>
        <v>#REF!</v>
      </c>
      <c r="AI31" s="38" t="e">
        <f>AH31*$AH$11</f>
        <v>#REF!</v>
      </c>
      <c r="AJ31" s="2"/>
      <c r="AK31" s="33" t="e">
        <f>#REF!</f>
        <v>#REF!</v>
      </c>
      <c r="AL31" s="17" t="e">
        <f>#REF!</f>
        <v>#REF!</v>
      </c>
      <c r="AM31" s="35" t="e">
        <f>#REF!</f>
        <v>#REF!</v>
      </c>
      <c r="AN31" s="36" t="e">
        <f t="shared" si="5"/>
        <v>#REF!</v>
      </c>
      <c r="AO31" s="37" t="e">
        <f>(AN31*(1+AN31)^AL31)/((1+AN31)^AL31-1)</f>
        <v>#REF!</v>
      </c>
      <c r="AP31" s="2"/>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5"/>
      <c r="DA31" s="5"/>
      <c r="DB31" s="5"/>
      <c r="DC31" s="5"/>
      <c r="DD31" s="5"/>
      <c r="DE31" s="5"/>
      <c r="DF31" s="5"/>
      <c r="DG31" s="5"/>
    </row>
    <row r="32" spans="1:111" ht="15" x14ac:dyDescent="0.25">
      <c r="A32" s="17" t="e">
        <f>#REF!</f>
        <v>#REF!</v>
      </c>
      <c r="B32" s="17" t="s">
        <v>74</v>
      </c>
      <c r="C32" s="33" t="e">
        <f>#REF!</f>
        <v>#REF!</v>
      </c>
      <c r="D32" s="17" t="e">
        <f>#REF!</f>
        <v>#REF!</v>
      </c>
      <c r="E32" s="34" t="e">
        <f>#REF!</f>
        <v>#REF!</v>
      </c>
      <c r="F32" s="35" t="e">
        <f>#REF!</f>
        <v>#REF!</v>
      </c>
      <c r="G32" s="36" t="e">
        <f t="shared" si="0"/>
        <v>#REF!</v>
      </c>
      <c r="H32" s="37" t="e">
        <f t="shared" si="2"/>
        <v>#REF!</v>
      </c>
      <c r="I32" s="33" t="e">
        <f t="shared" si="7"/>
        <v>#REF!</v>
      </c>
      <c r="J32" s="38" t="e">
        <f t="shared" si="8"/>
        <v>#REF!</v>
      </c>
      <c r="K32" s="46" t="e">
        <f>#REF!</f>
        <v>#REF!</v>
      </c>
      <c r="L32" s="46" t="e">
        <f>#REF!</f>
        <v>#REF!</v>
      </c>
      <c r="M32" s="35" t="e">
        <f>#REF!</f>
        <v>#REF!</v>
      </c>
      <c r="N32" s="38" t="e">
        <f t="shared" si="20"/>
        <v>#REF!</v>
      </c>
      <c r="O32" s="47" t="e">
        <f t="shared" si="9"/>
        <v>#REF!</v>
      </c>
      <c r="P32" s="33" t="e">
        <f>#REF!</f>
        <v>#REF!</v>
      </c>
      <c r="Q32" s="33" t="e">
        <f>#REF!</f>
        <v>#REF!</v>
      </c>
      <c r="R32" s="33" t="e">
        <f>#REF!</f>
        <v>#REF!</v>
      </c>
      <c r="S32" s="46" t="e">
        <f>#REF!</f>
        <v>#REF!</v>
      </c>
      <c r="T32" s="38" t="e">
        <f t="shared" si="10"/>
        <v>#REF!</v>
      </c>
      <c r="U32" s="38" t="e">
        <f t="shared" si="3"/>
        <v>#REF!</v>
      </c>
      <c r="V32" s="38" t="e">
        <f t="shared" si="11"/>
        <v>#REF!</v>
      </c>
      <c r="W32" s="38">
        <v>0.16</v>
      </c>
      <c r="X32" s="48">
        <v>1.3</v>
      </c>
      <c r="Y32" s="49" t="e">
        <f t="shared" si="12"/>
        <v>#REF!</v>
      </c>
      <c r="Z32" s="50" t="e">
        <f t="shared" si="13"/>
        <v>#REF!</v>
      </c>
      <c r="AA32" s="48">
        <v>2</v>
      </c>
      <c r="AB32" s="49" t="e">
        <f t="shared" si="4"/>
        <v>#REF!</v>
      </c>
      <c r="AC32" s="46" t="e">
        <f t="shared" si="14"/>
        <v>#REF!</v>
      </c>
      <c r="AD32" s="38" t="e">
        <f t="shared" si="15"/>
        <v>#REF!</v>
      </c>
      <c r="AE32" s="38" t="e">
        <f t="shared" si="16"/>
        <v>#REF!</v>
      </c>
      <c r="AF32" s="38" t="e">
        <f t="shared" si="17"/>
        <v>#REF!</v>
      </c>
      <c r="AG32" s="38">
        <v>1.04</v>
      </c>
      <c r="AH32" s="29" t="e">
        <f t="shared" si="18"/>
        <v>#REF!</v>
      </c>
      <c r="AI32" s="38" t="e">
        <f t="shared" si="19"/>
        <v>#REF!</v>
      </c>
      <c r="AJ32" s="2"/>
      <c r="AK32" s="33" t="e">
        <f>#REF!</f>
        <v>#REF!</v>
      </c>
      <c r="AL32" s="17" t="e">
        <f>#REF!</f>
        <v>#REF!</v>
      </c>
      <c r="AM32" s="35" t="e">
        <f>#REF!</f>
        <v>#REF!</v>
      </c>
      <c r="AN32" s="36" t="e">
        <f t="shared" si="5"/>
        <v>#REF!</v>
      </c>
      <c r="AO32" s="37" t="e">
        <f t="shared" si="6"/>
        <v>#REF!</v>
      </c>
      <c r="AP32" s="2"/>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5"/>
      <c r="DA32" s="5"/>
      <c r="DB32" s="5"/>
      <c r="DC32" s="5"/>
      <c r="DD32" s="5"/>
      <c r="DE32" s="5"/>
      <c r="DF32" s="5"/>
      <c r="DG32" s="5"/>
    </row>
    <row r="33" spans="1:111" ht="15" x14ac:dyDescent="0.25">
      <c r="A33" s="17" t="e">
        <f>#REF!</f>
        <v>#REF!</v>
      </c>
      <c r="B33" s="17" t="s">
        <v>201</v>
      </c>
      <c r="C33" s="33" t="e">
        <f>#REF!</f>
        <v>#REF!</v>
      </c>
      <c r="D33" s="17" t="e">
        <f>#REF!</f>
        <v>#REF!</v>
      </c>
      <c r="E33" s="34" t="e">
        <f>#REF!</f>
        <v>#REF!</v>
      </c>
      <c r="F33" s="35" t="e">
        <f>#REF!</f>
        <v>#REF!</v>
      </c>
      <c r="G33" s="36" t="e">
        <f t="shared" si="0"/>
        <v>#REF!</v>
      </c>
      <c r="H33" s="37" t="e">
        <f t="shared" si="2"/>
        <v>#REF!</v>
      </c>
      <c r="I33" s="33" t="e">
        <f t="shared" si="7"/>
        <v>#REF!</v>
      </c>
      <c r="J33" s="38" t="e">
        <f t="shared" si="8"/>
        <v>#REF!</v>
      </c>
      <c r="K33" s="46" t="e">
        <f>#REF!</f>
        <v>#REF!</v>
      </c>
      <c r="L33" s="46" t="e">
        <f>#REF!</f>
        <v>#REF!</v>
      </c>
      <c r="M33" s="35" t="e">
        <f>#REF!</f>
        <v>#REF!</v>
      </c>
      <c r="N33" s="38" t="e">
        <f t="shared" si="20"/>
        <v>#REF!</v>
      </c>
      <c r="O33" s="47" t="e">
        <f t="shared" si="9"/>
        <v>#REF!</v>
      </c>
      <c r="P33" s="33" t="e">
        <f>#REF!</f>
        <v>#REF!</v>
      </c>
      <c r="Q33" s="33" t="e">
        <f>#REF!</f>
        <v>#REF!</v>
      </c>
      <c r="R33" s="33" t="e">
        <f>#REF!</f>
        <v>#REF!</v>
      </c>
      <c r="S33" s="46" t="e">
        <f>#REF!</f>
        <v>#REF!</v>
      </c>
      <c r="T33" s="38" t="e">
        <f t="shared" si="10"/>
        <v>#REF!</v>
      </c>
      <c r="U33" s="38" t="e">
        <f t="shared" si="3"/>
        <v>#REF!</v>
      </c>
      <c r="V33" s="38" t="e">
        <f t="shared" si="11"/>
        <v>#REF!</v>
      </c>
      <c r="W33" s="38">
        <v>0.63</v>
      </c>
      <c r="X33" s="48">
        <v>1.3</v>
      </c>
      <c r="Y33" s="49" t="e">
        <f t="shared" si="12"/>
        <v>#REF!</v>
      </c>
      <c r="Z33" s="50" t="e">
        <f t="shared" si="13"/>
        <v>#REF!</v>
      </c>
      <c r="AA33" s="48">
        <v>2</v>
      </c>
      <c r="AB33" s="49" t="e">
        <f t="shared" si="4"/>
        <v>#REF!</v>
      </c>
      <c r="AC33" s="46" t="e">
        <f t="shared" si="14"/>
        <v>#REF!</v>
      </c>
      <c r="AD33" s="38" t="e">
        <f t="shared" si="15"/>
        <v>#REF!</v>
      </c>
      <c r="AE33" s="38" t="e">
        <f t="shared" si="16"/>
        <v>#REF!</v>
      </c>
      <c r="AF33" s="38" t="e">
        <f t="shared" si="17"/>
        <v>#REF!</v>
      </c>
      <c r="AG33" s="38">
        <v>1.33</v>
      </c>
      <c r="AH33" s="29" t="e">
        <f t="shared" si="18"/>
        <v>#REF!</v>
      </c>
      <c r="AI33" s="38" t="e">
        <f t="shared" si="19"/>
        <v>#REF!</v>
      </c>
      <c r="AJ33" s="2"/>
      <c r="AK33" s="33" t="e">
        <f>#REF!</f>
        <v>#REF!</v>
      </c>
      <c r="AL33" s="17" t="e">
        <f>#REF!</f>
        <v>#REF!</v>
      </c>
      <c r="AM33" s="35" t="e">
        <f>#REF!</f>
        <v>#REF!</v>
      </c>
      <c r="AN33" s="36" t="e">
        <f t="shared" si="5"/>
        <v>#REF!</v>
      </c>
      <c r="AO33" s="37" t="e">
        <f t="shared" si="6"/>
        <v>#REF!</v>
      </c>
      <c r="AP33" s="2"/>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5"/>
      <c r="DA33" s="5"/>
      <c r="DB33" s="5"/>
      <c r="DC33" s="5"/>
      <c r="DD33" s="5"/>
      <c r="DE33" s="5"/>
      <c r="DF33" s="5"/>
      <c r="DG33" s="5"/>
    </row>
    <row r="34" spans="1:111" ht="15" x14ac:dyDescent="0.25">
      <c r="A34" s="17" t="e">
        <f>#REF!</f>
        <v>#REF!</v>
      </c>
      <c r="B34" s="17" t="s">
        <v>199</v>
      </c>
      <c r="C34" s="33" t="e">
        <f>#REF!</f>
        <v>#REF!</v>
      </c>
      <c r="D34" s="17" t="e">
        <f>#REF!</f>
        <v>#REF!</v>
      </c>
      <c r="E34" s="34" t="e">
        <f>#REF!</f>
        <v>#REF!</v>
      </c>
      <c r="F34" s="35" t="e">
        <f>#REF!</f>
        <v>#REF!</v>
      </c>
      <c r="G34" s="36" t="e">
        <f t="shared" si="0"/>
        <v>#REF!</v>
      </c>
      <c r="H34" s="37" t="e">
        <f t="shared" si="2"/>
        <v>#REF!</v>
      </c>
      <c r="I34" s="33" t="e">
        <f t="shared" si="7"/>
        <v>#REF!</v>
      </c>
      <c r="J34" s="38" t="e">
        <f t="shared" si="8"/>
        <v>#REF!</v>
      </c>
      <c r="K34" s="46" t="e">
        <f>#REF!</f>
        <v>#REF!</v>
      </c>
      <c r="L34" s="46" t="e">
        <f>#REF!</f>
        <v>#REF!</v>
      </c>
      <c r="M34" s="35" t="e">
        <f>#REF!</f>
        <v>#REF!</v>
      </c>
      <c r="N34" s="38" t="e">
        <f t="shared" si="20"/>
        <v>#REF!</v>
      </c>
      <c r="O34" s="47" t="e">
        <f t="shared" si="9"/>
        <v>#REF!</v>
      </c>
      <c r="P34" s="33" t="e">
        <f>#REF!</f>
        <v>#REF!</v>
      </c>
      <c r="Q34" s="33" t="e">
        <f>#REF!</f>
        <v>#REF!</v>
      </c>
      <c r="R34" s="33" t="e">
        <f>#REF!</f>
        <v>#REF!</v>
      </c>
      <c r="S34" s="46" t="e">
        <f>#REF!</f>
        <v>#REF!</v>
      </c>
      <c r="T34" s="38" t="e">
        <f t="shared" si="10"/>
        <v>#REF!</v>
      </c>
      <c r="U34" s="38" t="e">
        <f t="shared" si="3"/>
        <v>#REF!</v>
      </c>
      <c r="V34" s="38" t="e">
        <f t="shared" si="11"/>
        <v>#REF!</v>
      </c>
      <c r="W34" s="38">
        <v>0.27</v>
      </c>
      <c r="X34" s="48">
        <v>1.4</v>
      </c>
      <c r="Y34" s="49" t="e">
        <f t="shared" si="12"/>
        <v>#REF!</v>
      </c>
      <c r="Z34" s="50" t="e">
        <f t="shared" si="13"/>
        <v>#REF!</v>
      </c>
      <c r="AA34" s="48">
        <v>2</v>
      </c>
      <c r="AB34" s="49" t="e">
        <f t="shared" si="4"/>
        <v>#REF!</v>
      </c>
      <c r="AC34" s="46" t="e">
        <f t="shared" si="14"/>
        <v>#REF!</v>
      </c>
      <c r="AD34" s="38" t="e">
        <f t="shared" si="15"/>
        <v>#REF!</v>
      </c>
      <c r="AE34" s="38" t="e">
        <f t="shared" si="16"/>
        <v>#REF!</v>
      </c>
      <c r="AF34" s="38" t="e">
        <f t="shared" si="17"/>
        <v>#REF!</v>
      </c>
      <c r="AG34" s="38">
        <v>1.04</v>
      </c>
      <c r="AH34" s="29" t="e">
        <f t="shared" si="18"/>
        <v>#REF!</v>
      </c>
      <c r="AI34" s="38" t="e">
        <f t="shared" si="19"/>
        <v>#REF!</v>
      </c>
      <c r="AJ34" s="2"/>
      <c r="AK34" s="33" t="e">
        <f>#REF!</f>
        <v>#REF!</v>
      </c>
      <c r="AL34" s="17" t="e">
        <f>#REF!</f>
        <v>#REF!</v>
      </c>
      <c r="AM34" s="35" t="e">
        <f>#REF!</f>
        <v>#REF!</v>
      </c>
      <c r="AN34" s="36" t="e">
        <f t="shared" si="5"/>
        <v>#REF!</v>
      </c>
      <c r="AO34" s="37" t="e">
        <f t="shared" si="6"/>
        <v>#REF!</v>
      </c>
      <c r="AP34" s="2"/>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5"/>
      <c r="DA34" s="5"/>
      <c r="DB34" s="5"/>
      <c r="DC34" s="5"/>
      <c r="DD34" s="5"/>
      <c r="DE34" s="5"/>
      <c r="DF34" s="5"/>
      <c r="DG34" s="5"/>
    </row>
    <row r="35" spans="1:111" ht="15" x14ac:dyDescent="0.25">
      <c r="A35" s="17" t="e">
        <f>#REF!</f>
        <v>#REF!</v>
      </c>
      <c r="B35" s="17" t="s">
        <v>200</v>
      </c>
      <c r="C35" s="33" t="e">
        <f>#REF!</f>
        <v>#REF!</v>
      </c>
      <c r="D35" s="17" t="e">
        <f>#REF!</f>
        <v>#REF!</v>
      </c>
      <c r="E35" s="34" t="e">
        <f>#REF!</f>
        <v>#REF!</v>
      </c>
      <c r="F35" s="35" t="e">
        <f>#REF!</f>
        <v>#REF!</v>
      </c>
      <c r="G35" s="36" t="e">
        <f t="shared" si="0"/>
        <v>#REF!</v>
      </c>
      <c r="H35" s="37" t="e">
        <f t="shared" si="2"/>
        <v>#REF!</v>
      </c>
      <c r="I35" s="33" t="e">
        <f t="shared" si="7"/>
        <v>#REF!</v>
      </c>
      <c r="J35" s="38" t="e">
        <f t="shared" si="8"/>
        <v>#REF!</v>
      </c>
      <c r="K35" s="46" t="e">
        <f>#REF!</f>
        <v>#REF!</v>
      </c>
      <c r="L35" s="46" t="e">
        <f>#REF!</f>
        <v>#REF!</v>
      </c>
      <c r="M35" s="35" t="e">
        <f>#REF!</f>
        <v>#REF!</v>
      </c>
      <c r="N35" s="38" t="e">
        <f t="shared" si="20"/>
        <v>#REF!</v>
      </c>
      <c r="O35" s="47" t="e">
        <f t="shared" si="9"/>
        <v>#REF!</v>
      </c>
      <c r="P35" s="33" t="e">
        <f>#REF!</f>
        <v>#REF!</v>
      </c>
      <c r="Q35" s="33" t="e">
        <f>#REF!</f>
        <v>#REF!</v>
      </c>
      <c r="R35" s="33" t="e">
        <f>#REF!</f>
        <v>#REF!</v>
      </c>
      <c r="S35" s="46" t="e">
        <f>#REF!</f>
        <v>#REF!</v>
      </c>
      <c r="T35" s="38" t="e">
        <f t="shared" si="10"/>
        <v>#REF!</v>
      </c>
      <c r="U35" s="38" t="e">
        <f t="shared" si="3"/>
        <v>#REF!</v>
      </c>
      <c r="V35" s="38" t="e">
        <f t="shared" si="11"/>
        <v>#REF!</v>
      </c>
      <c r="W35" s="38">
        <v>0.32</v>
      </c>
      <c r="X35" s="48">
        <v>2.1</v>
      </c>
      <c r="Y35" s="49" t="e">
        <f t="shared" si="12"/>
        <v>#REF!</v>
      </c>
      <c r="Z35" s="50" t="e">
        <f t="shared" si="13"/>
        <v>#REF!</v>
      </c>
      <c r="AA35" s="48">
        <v>2</v>
      </c>
      <c r="AB35" s="49" t="e">
        <f t="shared" si="4"/>
        <v>#REF!</v>
      </c>
      <c r="AC35" s="46" t="e">
        <f t="shared" si="14"/>
        <v>#REF!</v>
      </c>
      <c r="AD35" s="38" t="e">
        <f t="shared" si="15"/>
        <v>#REF!</v>
      </c>
      <c r="AE35" s="38" t="e">
        <f t="shared" si="16"/>
        <v>#REF!</v>
      </c>
      <c r="AF35" s="38" t="e">
        <f t="shared" si="17"/>
        <v>#REF!</v>
      </c>
      <c r="AG35" s="38">
        <v>1.1599999999999999</v>
      </c>
      <c r="AH35" s="29" t="e">
        <f t="shared" si="18"/>
        <v>#REF!</v>
      </c>
      <c r="AI35" s="38" t="e">
        <f t="shared" si="19"/>
        <v>#REF!</v>
      </c>
      <c r="AJ35" s="2"/>
      <c r="AK35" s="33" t="e">
        <f>#REF!</f>
        <v>#REF!</v>
      </c>
      <c r="AL35" s="17" t="e">
        <f>#REF!</f>
        <v>#REF!</v>
      </c>
      <c r="AM35" s="35" t="e">
        <f>#REF!</f>
        <v>#REF!</v>
      </c>
      <c r="AN35" s="36" t="e">
        <f t="shared" si="5"/>
        <v>#REF!</v>
      </c>
      <c r="AO35" s="37" t="e">
        <f t="shared" si="6"/>
        <v>#REF!</v>
      </c>
      <c r="AP35" s="2"/>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5"/>
      <c r="DA35" s="5"/>
      <c r="DB35" s="5"/>
      <c r="DC35" s="5"/>
      <c r="DD35" s="5"/>
      <c r="DE35" s="5"/>
      <c r="DF35" s="5"/>
      <c r="DG35" s="5"/>
    </row>
    <row r="36" spans="1:111" ht="15" x14ac:dyDescent="0.25">
      <c r="A36" s="17" t="e">
        <f>#REF!</f>
        <v>#REF!</v>
      </c>
      <c r="B36" s="17" t="s">
        <v>200</v>
      </c>
      <c r="C36" s="33" t="e">
        <f>#REF!</f>
        <v>#REF!</v>
      </c>
      <c r="D36" s="17" t="e">
        <f>#REF!</f>
        <v>#REF!</v>
      </c>
      <c r="E36" s="34" t="e">
        <f>#REF!</f>
        <v>#REF!</v>
      </c>
      <c r="F36" s="35" t="e">
        <f>#REF!</f>
        <v>#REF!</v>
      </c>
      <c r="G36" s="36" t="e">
        <f t="shared" si="0"/>
        <v>#REF!</v>
      </c>
      <c r="H36" s="37" t="e">
        <f t="shared" si="2"/>
        <v>#REF!</v>
      </c>
      <c r="I36" s="33" t="e">
        <f t="shared" si="7"/>
        <v>#REF!</v>
      </c>
      <c r="J36" s="38" t="e">
        <f t="shared" si="8"/>
        <v>#REF!</v>
      </c>
      <c r="K36" s="46" t="e">
        <f>#REF!</f>
        <v>#REF!</v>
      </c>
      <c r="L36" s="46" t="e">
        <f>#REF!</f>
        <v>#REF!</v>
      </c>
      <c r="M36" s="35" t="e">
        <f>#REF!</f>
        <v>#REF!</v>
      </c>
      <c r="N36" s="38" t="e">
        <f t="shared" si="20"/>
        <v>#REF!</v>
      </c>
      <c r="O36" s="47" t="e">
        <f t="shared" si="9"/>
        <v>#REF!</v>
      </c>
      <c r="P36" s="33" t="e">
        <f>#REF!</f>
        <v>#REF!</v>
      </c>
      <c r="Q36" s="33" t="e">
        <f>#REF!</f>
        <v>#REF!</v>
      </c>
      <c r="R36" s="33" t="e">
        <f>#REF!</f>
        <v>#REF!</v>
      </c>
      <c r="S36" s="46" t="e">
        <f>#REF!</f>
        <v>#REF!</v>
      </c>
      <c r="T36" s="38" t="e">
        <f t="shared" si="10"/>
        <v>#REF!</v>
      </c>
      <c r="U36" s="38" t="e">
        <f t="shared" si="3"/>
        <v>#REF!</v>
      </c>
      <c r="V36" s="38" t="e">
        <f t="shared" si="11"/>
        <v>#REF!</v>
      </c>
      <c r="W36" s="38">
        <v>0.32</v>
      </c>
      <c r="X36" s="48">
        <v>2.1</v>
      </c>
      <c r="Y36" s="49" t="e">
        <f t="shared" si="12"/>
        <v>#REF!</v>
      </c>
      <c r="Z36" s="50" t="e">
        <f t="shared" si="13"/>
        <v>#REF!</v>
      </c>
      <c r="AA36" s="48">
        <v>2</v>
      </c>
      <c r="AB36" s="49" t="e">
        <f t="shared" si="4"/>
        <v>#REF!</v>
      </c>
      <c r="AC36" s="46" t="e">
        <f t="shared" si="14"/>
        <v>#REF!</v>
      </c>
      <c r="AD36" s="38" t="e">
        <f t="shared" si="15"/>
        <v>#REF!</v>
      </c>
      <c r="AE36" s="38" t="e">
        <f t="shared" si="16"/>
        <v>#REF!</v>
      </c>
      <c r="AF36" s="38" t="e">
        <f t="shared" si="17"/>
        <v>#REF!</v>
      </c>
      <c r="AG36" s="38">
        <v>1.1599999999999999</v>
      </c>
      <c r="AH36" s="29" t="e">
        <f t="shared" si="18"/>
        <v>#REF!</v>
      </c>
      <c r="AI36" s="38" t="e">
        <f t="shared" si="19"/>
        <v>#REF!</v>
      </c>
      <c r="AJ36" s="2"/>
      <c r="AK36" s="33" t="e">
        <f>#REF!</f>
        <v>#REF!</v>
      </c>
      <c r="AL36" s="17" t="e">
        <f>#REF!</f>
        <v>#REF!</v>
      </c>
      <c r="AM36" s="35" t="e">
        <f>#REF!</f>
        <v>#REF!</v>
      </c>
      <c r="AN36" s="36" t="e">
        <f t="shared" si="5"/>
        <v>#REF!</v>
      </c>
      <c r="AO36" s="37" t="e">
        <f t="shared" si="6"/>
        <v>#REF!</v>
      </c>
      <c r="AP36" s="2"/>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5"/>
      <c r="DA36" s="5"/>
      <c r="DB36" s="5"/>
      <c r="DC36" s="5"/>
      <c r="DD36" s="5"/>
      <c r="DE36" s="5"/>
      <c r="DF36" s="5"/>
      <c r="DG36" s="5"/>
    </row>
    <row r="37" spans="1:111" ht="15" x14ac:dyDescent="0.25">
      <c r="A37" s="17" t="e">
        <f>#REF!</f>
        <v>#REF!</v>
      </c>
      <c r="B37" s="17" t="s">
        <v>75</v>
      </c>
      <c r="C37" s="33" t="e">
        <f>#REF!</f>
        <v>#REF!</v>
      </c>
      <c r="D37" s="17" t="e">
        <f>#REF!</f>
        <v>#REF!</v>
      </c>
      <c r="E37" s="34" t="e">
        <f>#REF!</f>
        <v>#REF!</v>
      </c>
      <c r="F37" s="35" t="e">
        <f>#REF!</f>
        <v>#REF!</v>
      </c>
      <c r="G37" s="36" t="e">
        <f t="shared" si="0"/>
        <v>#REF!</v>
      </c>
      <c r="H37" s="37" t="e">
        <f t="shared" si="2"/>
        <v>#REF!</v>
      </c>
      <c r="I37" s="33" t="e">
        <f t="shared" si="7"/>
        <v>#REF!</v>
      </c>
      <c r="J37" s="38" t="e">
        <f t="shared" si="8"/>
        <v>#REF!</v>
      </c>
      <c r="K37" s="46" t="e">
        <f>#REF!</f>
        <v>#REF!</v>
      </c>
      <c r="L37" s="46" t="e">
        <f>#REF!</f>
        <v>#REF!</v>
      </c>
      <c r="M37" s="35" t="e">
        <f>#REF!</f>
        <v>#REF!</v>
      </c>
      <c r="N37" s="38" t="e">
        <f t="shared" si="20"/>
        <v>#REF!</v>
      </c>
      <c r="O37" s="47" t="e">
        <f t="shared" si="9"/>
        <v>#REF!</v>
      </c>
      <c r="P37" s="33" t="e">
        <f>#REF!</f>
        <v>#REF!</v>
      </c>
      <c r="Q37" s="33" t="e">
        <f>#REF!</f>
        <v>#REF!</v>
      </c>
      <c r="R37" s="33" t="e">
        <f>#REF!</f>
        <v>#REF!</v>
      </c>
      <c r="S37" s="46" t="e">
        <f>#REF!</f>
        <v>#REF!</v>
      </c>
      <c r="T37" s="38" t="e">
        <f t="shared" si="10"/>
        <v>#REF!</v>
      </c>
      <c r="U37" s="38" t="e">
        <f t="shared" si="3"/>
        <v>#REF!</v>
      </c>
      <c r="V37" s="38" t="e">
        <f t="shared" si="11"/>
        <v>#REF!</v>
      </c>
      <c r="W37" s="38">
        <v>0.32</v>
      </c>
      <c r="X37" s="48">
        <v>2.1</v>
      </c>
      <c r="Y37" s="49" t="e">
        <f t="shared" si="12"/>
        <v>#REF!</v>
      </c>
      <c r="Z37" s="50" t="e">
        <f t="shared" si="13"/>
        <v>#REF!</v>
      </c>
      <c r="AA37" s="48">
        <v>2</v>
      </c>
      <c r="AB37" s="49" t="e">
        <f t="shared" si="4"/>
        <v>#REF!</v>
      </c>
      <c r="AC37" s="46" t="e">
        <f t="shared" si="14"/>
        <v>#REF!</v>
      </c>
      <c r="AD37" s="38" t="e">
        <f t="shared" si="15"/>
        <v>#REF!</v>
      </c>
      <c r="AE37" s="38" t="e">
        <f t="shared" si="16"/>
        <v>#REF!</v>
      </c>
      <c r="AF37" s="38" t="e">
        <f t="shared" si="17"/>
        <v>#REF!</v>
      </c>
      <c r="AG37" s="38">
        <v>1.1100000000000001</v>
      </c>
      <c r="AH37" s="29" t="e">
        <f t="shared" si="18"/>
        <v>#REF!</v>
      </c>
      <c r="AI37" s="38" t="e">
        <f t="shared" si="19"/>
        <v>#REF!</v>
      </c>
      <c r="AJ37" s="2"/>
      <c r="AK37" s="33" t="e">
        <f>#REF!</f>
        <v>#REF!</v>
      </c>
      <c r="AL37" s="17" t="e">
        <f>#REF!</f>
        <v>#REF!</v>
      </c>
      <c r="AM37" s="35" t="e">
        <f>#REF!</f>
        <v>#REF!</v>
      </c>
      <c r="AN37" s="36" t="e">
        <f t="shared" si="5"/>
        <v>#REF!</v>
      </c>
      <c r="AO37" s="37" t="e">
        <f t="shared" si="6"/>
        <v>#REF!</v>
      </c>
      <c r="AP37" s="2"/>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5"/>
      <c r="DA37" s="5"/>
      <c r="DB37" s="5"/>
      <c r="DC37" s="5"/>
      <c r="DD37" s="5"/>
      <c r="DE37" s="5"/>
      <c r="DF37" s="5"/>
      <c r="DG37" s="5"/>
    </row>
    <row r="38" spans="1:111" ht="15" x14ac:dyDescent="0.25">
      <c r="A38" s="17" t="e">
        <f>#REF!</f>
        <v>#REF!</v>
      </c>
      <c r="B38" s="17" t="s">
        <v>89</v>
      </c>
      <c r="C38" s="33" t="e">
        <f>#REF!</f>
        <v>#REF!</v>
      </c>
      <c r="D38" s="17" t="e">
        <f>#REF!</f>
        <v>#REF!</v>
      </c>
      <c r="E38" s="34" t="e">
        <f>#REF!</f>
        <v>#REF!</v>
      </c>
      <c r="F38" s="35" t="e">
        <f>#REF!</f>
        <v>#REF!</v>
      </c>
      <c r="G38" s="36" t="e">
        <f t="shared" si="0"/>
        <v>#REF!</v>
      </c>
      <c r="H38" s="37" t="e">
        <f t="shared" si="2"/>
        <v>#REF!</v>
      </c>
      <c r="I38" s="33" t="e">
        <f>((C38-(F38*C38))*H38)+(G38*(F38*C38))</f>
        <v>#REF!</v>
      </c>
      <c r="J38" s="38" t="e">
        <f>I38/D38</f>
        <v>#REF!</v>
      </c>
      <c r="K38" s="46" t="e">
        <f>#REF!</f>
        <v>#REF!</v>
      </c>
      <c r="L38" s="46" t="e">
        <f>#REF!</f>
        <v>#REF!</v>
      </c>
      <c r="M38" s="35" t="e">
        <f>#REF!</f>
        <v>#REF!</v>
      </c>
      <c r="N38" s="38" t="e">
        <f>(K38*L38*M38)/8.25</f>
        <v>#REF!</v>
      </c>
      <c r="O38" s="47" t="e">
        <f>1/N38</f>
        <v>#REF!</v>
      </c>
      <c r="P38" s="33" t="e">
        <f>#REF!</f>
        <v>#REF!</v>
      </c>
      <c r="Q38" s="33" t="e">
        <f>#REF!</f>
        <v>#REF!</v>
      </c>
      <c r="R38" s="33" t="e">
        <f>#REF!</f>
        <v>#REF!</v>
      </c>
      <c r="S38" s="46" t="e">
        <f>#REF!</f>
        <v>#REF!</v>
      </c>
      <c r="T38" s="38" t="e">
        <f>J38*O38*S38</f>
        <v>#REF!</v>
      </c>
      <c r="U38" s="38" t="e">
        <f t="shared" si="3"/>
        <v>#REF!</v>
      </c>
      <c r="V38" s="38" t="e">
        <f>U38*O38*S38</f>
        <v>#REF!</v>
      </c>
      <c r="W38" s="38">
        <v>0.41</v>
      </c>
      <c r="X38" s="48">
        <v>1.3</v>
      </c>
      <c r="Y38" s="49" t="e">
        <f>(C38*W38*(((E38*D38)/1000)^X38)/(E38*D38))*O38*S38</f>
        <v>#REF!</v>
      </c>
      <c r="Z38" s="50" t="e">
        <f>IF(Q38=4,0.003,0.007)</f>
        <v>#REF!</v>
      </c>
      <c r="AA38" s="48">
        <v>2</v>
      </c>
      <c r="AB38" s="49" t="e">
        <f t="shared" si="4"/>
        <v>#REF!</v>
      </c>
      <c r="AC38" s="46" t="e">
        <f>0.044*R38</f>
        <v>#REF!</v>
      </c>
      <c r="AD38" s="38" t="e">
        <f>AC38*O38*$AE$11*S38</f>
        <v>#REF!</v>
      </c>
      <c r="AE38" s="38" t="e">
        <f>AD38*0.1</f>
        <v>#REF!</v>
      </c>
      <c r="AF38" s="38" t="e">
        <f>SUM(AD38:AE38)</f>
        <v>#REF!</v>
      </c>
      <c r="AG38" s="38">
        <v>1.33</v>
      </c>
      <c r="AH38" s="29" t="e">
        <f>O38*S38*AG38</f>
        <v>#REF!</v>
      </c>
      <c r="AI38" s="38" t="e">
        <f>AH38*$AH$11</f>
        <v>#REF!</v>
      </c>
      <c r="AJ38" s="2"/>
      <c r="AK38" s="33" t="e">
        <f>#REF!</f>
        <v>#REF!</v>
      </c>
      <c r="AL38" s="17" t="e">
        <f>#REF!</f>
        <v>#REF!</v>
      </c>
      <c r="AM38" s="35" t="e">
        <f>#REF!</f>
        <v>#REF!</v>
      </c>
      <c r="AN38" s="36" t="e">
        <f t="shared" si="5"/>
        <v>#REF!</v>
      </c>
      <c r="AO38" s="37" t="e">
        <f t="shared" si="6"/>
        <v>#REF!</v>
      </c>
      <c r="AP38" s="2"/>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5"/>
      <c r="DA38" s="5"/>
      <c r="DB38" s="5"/>
      <c r="DC38" s="5"/>
      <c r="DD38" s="5"/>
      <c r="DE38" s="5"/>
      <c r="DF38" s="5"/>
      <c r="DG38" s="5"/>
    </row>
    <row r="39" spans="1:111" ht="15" x14ac:dyDescent="0.25">
      <c r="A39" s="17" t="e">
        <f>#REF!</f>
        <v>#REF!</v>
      </c>
      <c r="B39" s="17" t="s">
        <v>89</v>
      </c>
      <c r="C39" s="33" t="e">
        <f>#REF!</f>
        <v>#REF!</v>
      </c>
      <c r="D39" s="17" t="e">
        <f>#REF!</f>
        <v>#REF!</v>
      </c>
      <c r="E39" s="34" t="e">
        <f>#REF!</f>
        <v>#REF!</v>
      </c>
      <c r="F39" s="35" t="e">
        <f>#REF!</f>
        <v>#REF!</v>
      </c>
      <c r="G39" s="36" t="e">
        <f t="shared" si="0"/>
        <v>#REF!</v>
      </c>
      <c r="H39" s="37" t="e">
        <f t="shared" si="2"/>
        <v>#REF!</v>
      </c>
      <c r="I39" s="33" t="e">
        <f t="shared" si="7"/>
        <v>#REF!</v>
      </c>
      <c r="J39" s="38" t="e">
        <f t="shared" si="8"/>
        <v>#REF!</v>
      </c>
      <c r="K39" s="46" t="e">
        <f>#REF!</f>
        <v>#REF!</v>
      </c>
      <c r="L39" s="46" t="e">
        <f>#REF!</f>
        <v>#REF!</v>
      </c>
      <c r="M39" s="35" t="e">
        <f>#REF!</f>
        <v>#REF!</v>
      </c>
      <c r="N39" s="38" t="e">
        <f t="shared" si="20"/>
        <v>#REF!</v>
      </c>
      <c r="O39" s="47" t="e">
        <f t="shared" si="9"/>
        <v>#REF!</v>
      </c>
      <c r="P39" s="33" t="e">
        <f>#REF!</f>
        <v>#REF!</v>
      </c>
      <c r="Q39" s="33" t="e">
        <f>#REF!</f>
        <v>#REF!</v>
      </c>
      <c r="R39" s="33" t="e">
        <f>#REF!</f>
        <v>#REF!</v>
      </c>
      <c r="S39" s="46" t="e">
        <f>#REF!</f>
        <v>#REF!</v>
      </c>
      <c r="T39" s="38" t="e">
        <f t="shared" si="10"/>
        <v>#REF!</v>
      </c>
      <c r="U39" s="38" t="e">
        <f t="shared" si="3"/>
        <v>#REF!</v>
      </c>
      <c r="V39" s="38" t="e">
        <f t="shared" si="11"/>
        <v>#REF!</v>
      </c>
      <c r="W39" s="38">
        <v>0.41</v>
      </c>
      <c r="X39" s="48">
        <v>1.3</v>
      </c>
      <c r="Y39" s="49" t="e">
        <f t="shared" si="12"/>
        <v>#REF!</v>
      </c>
      <c r="Z39" s="50" t="e">
        <f t="shared" si="13"/>
        <v>#REF!</v>
      </c>
      <c r="AA39" s="48">
        <v>2</v>
      </c>
      <c r="AB39" s="49" t="e">
        <f t="shared" si="4"/>
        <v>#REF!</v>
      </c>
      <c r="AC39" s="46" t="e">
        <f t="shared" si="14"/>
        <v>#REF!</v>
      </c>
      <c r="AD39" s="38" t="e">
        <f t="shared" si="15"/>
        <v>#REF!</v>
      </c>
      <c r="AE39" s="38" t="e">
        <f t="shared" si="16"/>
        <v>#REF!</v>
      </c>
      <c r="AF39" s="38" t="e">
        <f t="shared" si="17"/>
        <v>#REF!</v>
      </c>
      <c r="AG39" s="38">
        <v>1.33</v>
      </c>
      <c r="AH39" s="29" t="e">
        <f t="shared" si="18"/>
        <v>#REF!</v>
      </c>
      <c r="AI39" s="38" t="e">
        <f t="shared" si="19"/>
        <v>#REF!</v>
      </c>
      <c r="AJ39" s="2"/>
      <c r="AK39" s="33" t="e">
        <f>#REF!</f>
        <v>#REF!</v>
      </c>
      <c r="AL39" s="17" t="e">
        <f>#REF!</f>
        <v>#REF!</v>
      </c>
      <c r="AM39" s="35" t="e">
        <f>#REF!</f>
        <v>#REF!</v>
      </c>
      <c r="AN39" s="36" t="e">
        <f t="shared" si="5"/>
        <v>#REF!</v>
      </c>
      <c r="AO39" s="37" t="e">
        <f t="shared" si="6"/>
        <v>#REF!</v>
      </c>
      <c r="AP39" s="2"/>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5"/>
      <c r="DA39" s="5"/>
      <c r="DB39" s="5"/>
      <c r="DC39" s="5"/>
      <c r="DD39" s="5"/>
      <c r="DE39" s="5"/>
      <c r="DF39" s="5"/>
      <c r="DG39" s="5"/>
    </row>
    <row r="40" spans="1:111" ht="15" x14ac:dyDescent="0.25">
      <c r="A40" s="17" t="e">
        <f>#REF!</f>
        <v>#REF!</v>
      </c>
      <c r="B40" s="17" t="s">
        <v>199</v>
      </c>
      <c r="C40" s="33" t="e">
        <f>#REF!</f>
        <v>#REF!</v>
      </c>
      <c r="D40" s="17" t="e">
        <f>#REF!</f>
        <v>#REF!</v>
      </c>
      <c r="E40" s="34" t="e">
        <f>#REF!</f>
        <v>#REF!</v>
      </c>
      <c r="F40" s="35" t="e">
        <f>#REF!</f>
        <v>#REF!</v>
      </c>
      <c r="G40" s="36" t="e">
        <f t="shared" si="0"/>
        <v>#REF!</v>
      </c>
      <c r="H40" s="37" t="e">
        <f t="shared" si="2"/>
        <v>#REF!</v>
      </c>
      <c r="I40" s="33" t="e">
        <f t="shared" si="7"/>
        <v>#REF!</v>
      </c>
      <c r="J40" s="38" t="e">
        <f t="shared" si="8"/>
        <v>#REF!</v>
      </c>
      <c r="K40" s="46" t="e">
        <f>#REF!</f>
        <v>#REF!</v>
      </c>
      <c r="L40" s="46" t="e">
        <f>#REF!</f>
        <v>#REF!</v>
      </c>
      <c r="M40" s="35" t="e">
        <f>#REF!</f>
        <v>#REF!</v>
      </c>
      <c r="N40" s="38" t="e">
        <f t="shared" si="20"/>
        <v>#REF!</v>
      </c>
      <c r="O40" s="47" t="e">
        <f t="shared" si="9"/>
        <v>#REF!</v>
      </c>
      <c r="P40" s="33" t="e">
        <f>#REF!</f>
        <v>#REF!</v>
      </c>
      <c r="Q40" s="33" t="e">
        <f>#REF!</f>
        <v>#REF!</v>
      </c>
      <c r="R40" s="33" t="e">
        <f>#REF!</f>
        <v>#REF!</v>
      </c>
      <c r="S40" s="46" t="e">
        <f>#REF!</f>
        <v>#REF!</v>
      </c>
      <c r="T40" s="38" t="e">
        <f t="shared" si="10"/>
        <v>#REF!</v>
      </c>
      <c r="U40" s="38" t="e">
        <f t="shared" si="3"/>
        <v>#REF!</v>
      </c>
      <c r="V40" s="38" t="e">
        <f t="shared" si="11"/>
        <v>#REF!</v>
      </c>
      <c r="W40" s="38">
        <v>0.27</v>
      </c>
      <c r="X40" s="48">
        <v>1.4</v>
      </c>
      <c r="Y40" s="49" t="e">
        <f t="shared" si="12"/>
        <v>#REF!</v>
      </c>
      <c r="Z40" s="50" t="e">
        <f t="shared" si="13"/>
        <v>#REF!</v>
      </c>
      <c r="AA40" s="48">
        <v>2</v>
      </c>
      <c r="AB40" s="49" t="e">
        <f t="shared" si="4"/>
        <v>#REF!</v>
      </c>
      <c r="AC40" s="46" t="e">
        <f t="shared" si="14"/>
        <v>#REF!</v>
      </c>
      <c r="AD40" s="38" t="e">
        <f t="shared" si="15"/>
        <v>#REF!</v>
      </c>
      <c r="AE40" s="38" t="e">
        <f t="shared" si="16"/>
        <v>#REF!</v>
      </c>
      <c r="AF40" s="38" t="e">
        <f t="shared" si="17"/>
        <v>#REF!</v>
      </c>
      <c r="AG40" s="38">
        <v>1.04</v>
      </c>
      <c r="AH40" s="29" t="e">
        <f t="shared" si="18"/>
        <v>#REF!</v>
      </c>
      <c r="AI40" s="38" t="e">
        <f t="shared" si="19"/>
        <v>#REF!</v>
      </c>
      <c r="AJ40" s="2"/>
      <c r="AK40" s="33" t="e">
        <f>#REF!</f>
        <v>#REF!</v>
      </c>
      <c r="AL40" s="17" t="e">
        <f>#REF!</f>
        <v>#REF!</v>
      </c>
      <c r="AM40" s="35" t="e">
        <f>#REF!</f>
        <v>#REF!</v>
      </c>
      <c r="AN40" s="36" t="e">
        <f t="shared" si="5"/>
        <v>#REF!</v>
      </c>
      <c r="AO40" s="37" t="e">
        <f t="shared" si="6"/>
        <v>#REF!</v>
      </c>
      <c r="AP40" s="2"/>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5"/>
      <c r="DA40" s="5"/>
      <c r="DB40" s="5"/>
      <c r="DC40" s="5"/>
      <c r="DD40" s="5"/>
      <c r="DE40" s="5"/>
      <c r="DF40" s="5"/>
      <c r="DG40" s="5"/>
    </row>
    <row r="41" spans="1:111" ht="15" x14ac:dyDescent="0.25">
      <c r="A41" s="17" t="e">
        <f>#REF!</f>
        <v>#REF!</v>
      </c>
      <c r="B41" s="17" t="s">
        <v>74</v>
      </c>
      <c r="C41" s="33" t="e">
        <f>#REF!</f>
        <v>#REF!</v>
      </c>
      <c r="D41" s="17" t="e">
        <f>#REF!</f>
        <v>#REF!</v>
      </c>
      <c r="E41" s="34" t="e">
        <f>#REF!</f>
        <v>#REF!</v>
      </c>
      <c r="F41" s="35" t="e">
        <f>#REF!</f>
        <v>#REF!</v>
      </c>
      <c r="G41" s="36" t="e">
        <f t="shared" si="0"/>
        <v>#REF!</v>
      </c>
      <c r="H41" s="37" t="e">
        <f t="shared" si="2"/>
        <v>#REF!</v>
      </c>
      <c r="I41" s="33" t="e">
        <f t="shared" si="7"/>
        <v>#REF!</v>
      </c>
      <c r="J41" s="38" t="e">
        <f t="shared" si="8"/>
        <v>#REF!</v>
      </c>
      <c r="K41" s="46" t="e">
        <f>#REF!</f>
        <v>#REF!</v>
      </c>
      <c r="L41" s="46" t="e">
        <f>#REF!</f>
        <v>#REF!</v>
      </c>
      <c r="M41" s="35">
        <v>0.75</v>
      </c>
      <c r="N41" s="38" t="e">
        <f>(((K41*L41*M41)/8.25)*((43560)^0.5))/2</f>
        <v>#REF!</v>
      </c>
      <c r="O41" s="47" t="e">
        <f t="shared" si="9"/>
        <v>#REF!</v>
      </c>
      <c r="P41" s="33" t="e">
        <f>#REF!</f>
        <v>#REF!</v>
      </c>
      <c r="Q41" s="33" t="e">
        <f>#REF!</f>
        <v>#REF!</v>
      </c>
      <c r="R41" s="33" t="e">
        <f>#REF!</f>
        <v>#REF!</v>
      </c>
      <c r="S41" s="46" t="e">
        <f>#REF!</f>
        <v>#REF!</v>
      </c>
      <c r="T41" s="38" t="e">
        <f t="shared" si="10"/>
        <v>#REF!</v>
      </c>
      <c r="U41" s="38" t="e">
        <f t="shared" si="3"/>
        <v>#REF!</v>
      </c>
      <c r="V41" s="38" t="e">
        <f t="shared" si="11"/>
        <v>#REF!</v>
      </c>
      <c r="W41" s="38">
        <v>0.16</v>
      </c>
      <c r="X41" s="48">
        <v>1.3</v>
      </c>
      <c r="Y41" s="49" t="e">
        <f t="shared" si="12"/>
        <v>#REF!</v>
      </c>
      <c r="Z41" s="50" t="e">
        <f t="shared" si="13"/>
        <v>#REF!</v>
      </c>
      <c r="AA41" s="48">
        <v>2</v>
      </c>
      <c r="AB41" s="49" t="e">
        <f t="shared" si="4"/>
        <v>#REF!</v>
      </c>
      <c r="AC41" s="46" t="e">
        <f t="shared" si="14"/>
        <v>#REF!</v>
      </c>
      <c r="AD41" s="38" t="e">
        <f t="shared" si="15"/>
        <v>#REF!</v>
      </c>
      <c r="AE41" s="38" t="e">
        <f t="shared" si="16"/>
        <v>#REF!</v>
      </c>
      <c r="AF41" s="38" t="e">
        <f t="shared" si="17"/>
        <v>#REF!</v>
      </c>
      <c r="AG41" s="38">
        <f>(1.04*2)+1.04</f>
        <v>3.12</v>
      </c>
      <c r="AH41" s="29" t="e">
        <f t="shared" si="18"/>
        <v>#REF!</v>
      </c>
      <c r="AI41" s="38" t="e">
        <f t="shared" si="19"/>
        <v>#REF!</v>
      </c>
      <c r="AJ41" s="2"/>
      <c r="AK41" s="33" t="e">
        <f>#REF!</f>
        <v>#REF!</v>
      </c>
      <c r="AL41" s="17" t="e">
        <f>#REF!</f>
        <v>#REF!</v>
      </c>
      <c r="AM41" s="35" t="e">
        <f>#REF!</f>
        <v>#REF!</v>
      </c>
      <c r="AN41" s="36" t="e">
        <f t="shared" si="5"/>
        <v>#REF!</v>
      </c>
      <c r="AO41" s="37" t="e">
        <f t="shared" si="6"/>
        <v>#REF!</v>
      </c>
      <c r="AP41" s="2"/>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5"/>
      <c r="DA41" s="5"/>
      <c r="DB41" s="5"/>
      <c r="DC41" s="5"/>
      <c r="DD41" s="5"/>
      <c r="DE41" s="5"/>
      <c r="DF41" s="5"/>
      <c r="DG41" s="5"/>
    </row>
    <row r="42" spans="1:111" ht="15" x14ac:dyDescent="0.25">
      <c r="A42" s="17" t="e">
        <f>#REF!</f>
        <v>#REF!</v>
      </c>
      <c r="B42" s="17" t="s">
        <v>89</v>
      </c>
      <c r="C42" s="33" t="e">
        <f>#REF!</f>
        <v>#REF!</v>
      </c>
      <c r="D42" s="17" t="e">
        <f>#REF!</f>
        <v>#REF!</v>
      </c>
      <c r="E42" s="34" t="e">
        <f>#REF!</f>
        <v>#REF!</v>
      </c>
      <c r="F42" s="35" t="e">
        <f>#REF!</f>
        <v>#REF!</v>
      </c>
      <c r="G42" s="36" t="e">
        <f t="shared" si="0"/>
        <v>#REF!</v>
      </c>
      <c r="H42" s="37" t="e">
        <f t="shared" si="2"/>
        <v>#REF!</v>
      </c>
      <c r="I42" s="33" t="e">
        <f t="shared" si="7"/>
        <v>#REF!</v>
      </c>
      <c r="J42" s="38" t="e">
        <f t="shared" si="8"/>
        <v>#REF!</v>
      </c>
      <c r="K42" s="46" t="e">
        <f>#REF!</f>
        <v>#REF!</v>
      </c>
      <c r="L42" s="46" t="e">
        <f>#REF!</f>
        <v>#REF!</v>
      </c>
      <c r="M42" s="35" t="e">
        <f>#REF!</f>
        <v>#REF!</v>
      </c>
      <c r="N42" s="38" t="e">
        <f>(K42*L42*M42)/8.25</f>
        <v>#REF!</v>
      </c>
      <c r="O42" s="47" t="e">
        <f t="shared" si="9"/>
        <v>#REF!</v>
      </c>
      <c r="P42" s="33" t="e">
        <f>#REF!</f>
        <v>#REF!</v>
      </c>
      <c r="Q42" s="33" t="e">
        <f>#REF!</f>
        <v>#REF!</v>
      </c>
      <c r="R42" s="33" t="e">
        <f>#REF!</f>
        <v>#REF!</v>
      </c>
      <c r="S42" s="46" t="e">
        <f>#REF!</f>
        <v>#REF!</v>
      </c>
      <c r="T42" s="38" t="e">
        <f t="shared" si="10"/>
        <v>#REF!</v>
      </c>
      <c r="U42" s="38" t="e">
        <f t="shared" si="3"/>
        <v>#REF!</v>
      </c>
      <c r="V42" s="38" t="e">
        <f t="shared" si="11"/>
        <v>#REF!</v>
      </c>
      <c r="W42" s="38">
        <v>0.41</v>
      </c>
      <c r="X42" s="48">
        <v>1.3</v>
      </c>
      <c r="Y42" s="49" t="e">
        <f t="shared" si="12"/>
        <v>#REF!</v>
      </c>
      <c r="Z42" s="50" t="e">
        <f t="shared" si="13"/>
        <v>#REF!</v>
      </c>
      <c r="AA42" s="48">
        <v>2</v>
      </c>
      <c r="AB42" s="49" t="e">
        <f t="shared" si="4"/>
        <v>#REF!</v>
      </c>
      <c r="AC42" s="46" t="e">
        <f t="shared" si="14"/>
        <v>#REF!</v>
      </c>
      <c r="AD42" s="38" t="e">
        <f t="shared" si="15"/>
        <v>#REF!</v>
      </c>
      <c r="AE42" s="38" t="e">
        <f t="shared" si="16"/>
        <v>#REF!</v>
      </c>
      <c r="AF42" s="38" t="e">
        <f t="shared" si="17"/>
        <v>#REF!</v>
      </c>
      <c r="AG42" s="38">
        <v>1.04</v>
      </c>
      <c r="AH42" s="29" t="e">
        <f t="shared" si="18"/>
        <v>#REF!</v>
      </c>
      <c r="AI42" s="38" t="e">
        <f t="shared" si="19"/>
        <v>#REF!</v>
      </c>
      <c r="AJ42" s="2"/>
      <c r="AK42" s="33" t="e">
        <f>#REF!</f>
        <v>#REF!</v>
      </c>
      <c r="AL42" s="17" t="e">
        <f>#REF!</f>
        <v>#REF!</v>
      </c>
      <c r="AM42" s="35" t="e">
        <f>#REF!</f>
        <v>#REF!</v>
      </c>
      <c r="AN42" s="36" t="e">
        <f t="shared" si="5"/>
        <v>#REF!</v>
      </c>
      <c r="AO42" s="37" t="e">
        <f t="shared" si="6"/>
        <v>#REF!</v>
      </c>
      <c r="AP42" s="2"/>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5"/>
      <c r="DA42" s="5"/>
      <c r="DB42" s="5"/>
      <c r="DC42" s="5"/>
      <c r="DD42" s="5"/>
      <c r="DE42" s="5"/>
      <c r="DF42" s="5"/>
      <c r="DG42" s="5"/>
    </row>
    <row r="43" spans="1:111" ht="15" x14ac:dyDescent="0.25">
      <c r="A43" s="17" t="e">
        <f>#REF!</f>
        <v>#REF!</v>
      </c>
      <c r="B43" s="17" t="s">
        <v>119</v>
      </c>
      <c r="C43" s="33" t="e">
        <f>#REF!</f>
        <v>#REF!</v>
      </c>
      <c r="D43" s="17" t="e">
        <f>#REF!</f>
        <v>#REF!</v>
      </c>
      <c r="E43" s="34" t="e">
        <f>#REF!</f>
        <v>#REF!</v>
      </c>
      <c r="F43" s="35" t="e">
        <f>#REF!</f>
        <v>#REF!</v>
      </c>
      <c r="G43" s="36" t="e">
        <f t="shared" si="0"/>
        <v>#REF!</v>
      </c>
      <c r="H43" s="37" t="e">
        <f t="shared" si="2"/>
        <v>#REF!</v>
      </c>
      <c r="I43" s="33" t="e">
        <f>((C43-(F43*C43))*H43)+(G43*(F43*C43))</f>
        <v>#REF!</v>
      </c>
      <c r="J43" s="38" t="e">
        <f>I43/D43</f>
        <v>#REF!</v>
      </c>
      <c r="K43" s="46" t="e">
        <f>#REF!</f>
        <v>#REF!</v>
      </c>
      <c r="L43" s="46" t="e">
        <f>#REF!</f>
        <v>#REF!</v>
      </c>
      <c r="M43" s="35" t="e">
        <f>#REF!</f>
        <v>#REF!</v>
      </c>
      <c r="N43" s="38" t="e">
        <f>(((K43*L43*M43)/8.25)*((43560)^0.5)/(1*2))*(100/IF(#REF!=2,10,10))</f>
        <v>#REF!</v>
      </c>
      <c r="O43" s="47" t="e">
        <f>1/N43</f>
        <v>#REF!</v>
      </c>
      <c r="P43" s="33" t="e">
        <f>#REF!</f>
        <v>#REF!</v>
      </c>
      <c r="Q43" s="33" t="e">
        <f>#REF!</f>
        <v>#REF!</v>
      </c>
      <c r="R43" s="33" t="e">
        <f>#REF!</f>
        <v>#REF!</v>
      </c>
      <c r="S43" s="46" t="e">
        <f>#REF!</f>
        <v>#REF!</v>
      </c>
      <c r="T43" s="38" t="e">
        <f>J43*O43*S43</f>
        <v>#REF!</v>
      </c>
      <c r="U43" s="38" t="e">
        <f>(((P43-(AM43*P43))*AO43)+(AN43*(AM43*P43)))/AK43</f>
        <v>#REF!</v>
      </c>
      <c r="V43" s="38" t="e">
        <f>U43*O43*S43</f>
        <v>#REF!</v>
      </c>
      <c r="W43" s="38">
        <v>0.28000000000000003</v>
      </c>
      <c r="X43" s="48">
        <v>1.4</v>
      </c>
      <c r="Y43" s="49" t="e">
        <f>(C43*W43*(((E43*D43)/1000)^X43)/(E43*D43))*O43*S43</f>
        <v>#REF!</v>
      </c>
      <c r="Z43" s="50" t="e">
        <f>IF(Q43=4,0.003,0.007)</f>
        <v>#REF!</v>
      </c>
      <c r="AA43" s="48">
        <v>2</v>
      </c>
      <c r="AB43" s="49" t="e">
        <f t="shared" si="4"/>
        <v>#REF!</v>
      </c>
      <c r="AC43" s="46" t="e">
        <f>0.044*R43</f>
        <v>#REF!</v>
      </c>
      <c r="AD43" s="38" t="e">
        <f>AC43*O43*$AE$11*S43</f>
        <v>#REF!</v>
      </c>
      <c r="AE43" s="38" t="e">
        <f>AD43*0.1</f>
        <v>#REF!</v>
      </c>
      <c r="AF43" s="38" t="e">
        <f>SUM(AD43:AE43)</f>
        <v>#REF!</v>
      </c>
      <c r="AG43" s="38">
        <v>1.04</v>
      </c>
      <c r="AH43" s="29" t="e">
        <f>O43*S43*AG43</f>
        <v>#REF!</v>
      </c>
      <c r="AI43" s="38" t="e">
        <f>AH43*$AH$11</f>
        <v>#REF!</v>
      </c>
      <c r="AJ43" s="2"/>
      <c r="AK43" s="33" t="e">
        <f>#REF!</f>
        <v>#REF!</v>
      </c>
      <c r="AL43" s="17" t="e">
        <f>#REF!</f>
        <v>#REF!</v>
      </c>
      <c r="AM43" s="35" t="e">
        <f>#REF!</f>
        <v>#REF!</v>
      </c>
      <c r="AN43" s="36" t="e">
        <f t="shared" si="5"/>
        <v>#REF!</v>
      </c>
      <c r="AO43" s="37" t="e">
        <f>(AN43*(1+AN43)^AL43)/((1+AN43)^AL43-1)</f>
        <v>#REF!</v>
      </c>
      <c r="AP43" s="2"/>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5"/>
      <c r="DA43" s="5"/>
      <c r="DB43" s="5"/>
      <c r="DC43" s="5"/>
      <c r="DD43" s="5"/>
      <c r="DE43" s="5"/>
      <c r="DF43" s="5"/>
      <c r="DG43" s="5"/>
    </row>
    <row r="44" spans="1:111" ht="15" x14ac:dyDescent="0.25">
      <c r="A44" s="17" t="e">
        <f>#REF!</f>
        <v>#REF!</v>
      </c>
      <c r="B44" s="17" t="s">
        <v>86</v>
      </c>
      <c r="C44" s="33" t="e">
        <f>#REF!</f>
        <v>#REF!</v>
      </c>
      <c r="D44" s="17" t="e">
        <f>#REF!</f>
        <v>#REF!</v>
      </c>
      <c r="E44" s="34" t="e">
        <f>#REF!</f>
        <v>#REF!</v>
      </c>
      <c r="F44" s="35" t="e">
        <f>#REF!</f>
        <v>#REF!</v>
      </c>
      <c r="G44" s="36" t="e">
        <f t="shared" si="0"/>
        <v>#REF!</v>
      </c>
      <c r="H44" s="37" t="e">
        <f t="shared" si="2"/>
        <v>#REF!</v>
      </c>
      <c r="I44" s="33" t="e">
        <f t="shared" si="7"/>
        <v>#REF!</v>
      </c>
      <c r="J44" s="38" t="e">
        <f t="shared" si="8"/>
        <v>#REF!</v>
      </c>
      <c r="K44" s="46" t="e">
        <f>#REF!</f>
        <v>#REF!</v>
      </c>
      <c r="L44" s="46" t="e">
        <f>#REF!</f>
        <v>#REF!</v>
      </c>
      <c r="M44" s="35" t="e">
        <f>#REF!</f>
        <v>#REF!</v>
      </c>
      <c r="N44" s="38" t="e">
        <f>(((K44*L44*M44)/8.25)*((43560)^0.5)/(1*2))*(100/IF(#REF!=2,10,5))</f>
        <v>#REF!</v>
      </c>
      <c r="O44" s="47" t="e">
        <f t="shared" si="9"/>
        <v>#REF!</v>
      </c>
      <c r="P44" s="33" t="e">
        <f>#REF!</f>
        <v>#REF!</v>
      </c>
      <c r="Q44" s="33" t="e">
        <f>#REF!</f>
        <v>#REF!</v>
      </c>
      <c r="R44" s="33" t="e">
        <f>#REF!</f>
        <v>#REF!</v>
      </c>
      <c r="S44" s="46" t="e">
        <f>#REF!</f>
        <v>#REF!</v>
      </c>
      <c r="T44" s="38" t="e">
        <f t="shared" si="10"/>
        <v>#REF!</v>
      </c>
      <c r="U44" s="38" t="e">
        <f t="shared" ref="U44:U49" si="21">(((P44-(AM44*P44))*AO44)+(AN44*(AM44*P44)))/AK44</f>
        <v>#REF!</v>
      </c>
      <c r="V44" s="38" t="e">
        <f t="shared" si="11"/>
        <v>#REF!</v>
      </c>
      <c r="W44" s="38">
        <v>0.28000000000000003</v>
      </c>
      <c r="X44" s="48">
        <v>1.4</v>
      </c>
      <c r="Y44" s="49" t="e">
        <f t="shared" si="12"/>
        <v>#REF!</v>
      </c>
      <c r="Z44" s="50" t="e">
        <f t="shared" si="13"/>
        <v>#REF!</v>
      </c>
      <c r="AA44" s="48">
        <v>2</v>
      </c>
      <c r="AB44" s="49" t="e">
        <f t="shared" si="4"/>
        <v>#REF!</v>
      </c>
      <c r="AC44" s="46" t="e">
        <f t="shared" si="14"/>
        <v>#REF!</v>
      </c>
      <c r="AD44" s="38" t="e">
        <f t="shared" si="15"/>
        <v>#REF!</v>
      </c>
      <c r="AE44" s="38" t="e">
        <f t="shared" si="16"/>
        <v>#REF!</v>
      </c>
      <c r="AF44" s="38" t="e">
        <f t="shared" si="17"/>
        <v>#REF!</v>
      </c>
      <c r="AG44" s="38">
        <v>1.04</v>
      </c>
      <c r="AH44" s="29" t="e">
        <f t="shared" si="18"/>
        <v>#REF!</v>
      </c>
      <c r="AI44" s="38" t="e">
        <f t="shared" si="19"/>
        <v>#REF!</v>
      </c>
      <c r="AJ44" s="2"/>
      <c r="AK44" s="33" t="e">
        <f>#REF!</f>
        <v>#REF!</v>
      </c>
      <c r="AL44" s="17" t="e">
        <f>#REF!</f>
        <v>#REF!</v>
      </c>
      <c r="AM44" s="35" t="e">
        <f>#REF!</f>
        <v>#REF!</v>
      </c>
      <c r="AN44" s="36" t="e">
        <f t="shared" ref="AN44:AN49" si="22">$I$8</f>
        <v>#REF!</v>
      </c>
      <c r="AO44" s="37" t="e">
        <f t="shared" si="6"/>
        <v>#REF!</v>
      </c>
      <c r="AP44" s="2"/>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5"/>
      <c r="DA44" s="5"/>
      <c r="DB44" s="5"/>
      <c r="DC44" s="5"/>
      <c r="DD44" s="5"/>
      <c r="DE44" s="5"/>
      <c r="DF44" s="5"/>
      <c r="DG44" s="5"/>
    </row>
    <row r="45" spans="1:111" ht="15" x14ac:dyDescent="0.25">
      <c r="A45" s="17" t="e">
        <f>#REF!</f>
        <v>#REF!</v>
      </c>
      <c r="B45" s="17" t="s">
        <v>86</v>
      </c>
      <c r="C45" s="33" t="e">
        <f>#REF!</f>
        <v>#REF!</v>
      </c>
      <c r="D45" s="17" t="e">
        <f>#REF!</f>
        <v>#REF!</v>
      </c>
      <c r="E45" s="34" t="e">
        <f>#REF!</f>
        <v>#REF!</v>
      </c>
      <c r="F45" s="35" t="e">
        <f>#REF!</f>
        <v>#REF!</v>
      </c>
      <c r="G45" s="36" t="e">
        <f t="shared" si="0"/>
        <v>#REF!</v>
      </c>
      <c r="H45" s="37" t="e">
        <f t="shared" si="2"/>
        <v>#REF!</v>
      </c>
      <c r="I45" s="33" t="e">
        <f t="shared" si="7"/>
        <v>#REF!</v>
      </c>
      <c r="J45" s="38" t="e">
        <f t="shared" si="8"/>
        <v>#REF!</v>
      </c>
      <c r="K45" s="46" t="e">
        <f>#REF!</f>
        <v>#REF!</v>
      </c>
      <c r="L45" s="46" t="e">
        <f>#REF!</f>
        <v>#REF!</v>
      </c>
      <c r="M45" s="35" t="e">
        <f>#REF!</f>
        <v>#REF!</v>
      </c>
      <c r="N45" s="38" t="e">
        <f>(((K45*L45*M45)/8.25)*((43560)^0.5)/(1*2))*(100/IF(#REF!=2,10,5))</f>
        <v>#REF!</v>
      </c>
      <c r="O45" s="47" t="e">
        <f t="shared" si="9"/>
        <v>#REF!</v>
      </c>
      <c r="P45" s="33" t="e">
        <f>#REF!</f>
        <v>#REF!</v>
      </c>
      <c r="Q45" s="33" t="e">
        <f>#REF!</f>
        <v>#REF!</v>
      </c>
      <c r="R45" s="33" t="e">
        <f>#REF!</f>
        <v>#REF!</v>
      </c>
      <c r="S45" s="46" t="e">
        <f>#REF!</f>
        <v>#REF!</v>
      </c>
      <c r="T45" s="38" t="e">
        <f t="shared" si="10"/>
        <v>#REF!</v>
      </c>
      <c r="U45" s="38" t="e">
        <f t="shared" si="21"/>
        <v>#REF!</v>
      </c>
      <c r="V45" s="38" t="e">
        <f t="shared" si="11"/>
        <v>#REF!</v>
      </c>
      <c r="W45" s="38">
        <v>0.28000000000000003</v>
      </c>
      <c r="X45" s="48">
        <v>1.4</v>
      </c>
      <c r="Y45" s="49" t="e">
        <f t="shared" si="12"/>
        <v>#REF!</v>
      </c>
      <c r="Z45" s="50" t="e">
        <f t="shared" si="13"/>
        <v>#REF!</v>
      </c>
      <c r="AA45" s="48">
        <v>2</v>
      </c>
      <c r="AB45" s="49" t="e">
        <f t="shared" si="4"/>
        <v>#REF!</v>
      </c>
      <c r="AC45" s="46" t="e">
        <f t="shared" si="14"/>
        <v>#REF!</v>
      </c>
      <c r="AD45" s="38" t="e">
        <f t="shared" si="15"/>
        <v>#REF!</v>
      </c>
      <c r="AE45" s="38" t="e">
        <f t="shared" si="16"/>
        <v>#REF!</v>
      </c>
      <c r="AF45" s="38" t="e">
        <f t="shared" si="17"/>
        <v>#REF!</v>
      </c>
      <c r="AG45" s="38">
        <v>1.04</v>
      </c>
      <c r="AH45" s="29" t="e">
        <f t="shared" si="18"/>
        <v>#REF!</v>
      </c>
      <c r="AI45" s="38" t="e">
        <f t="shared" si="19"/>
        <v>#REF!</v>
      </c>
      <c r="AJ45" s="2"/>
      <c r="AK45" s="33" t="e">
        <f>#REF!</f>
        <v>#REF!</v>
      </c>
      <c r="AL45" s="17" t="e">
        <f>#REF!</f>
        <v>#REF!</v>
      </c>
      <c r="AM45" s="35" t="e">
        <f>#REF!</f>
        <v>#REF!</v>
      </c>
      <c r="AN45" s="36" t="e">
        <f t="shared" si="22"/>
        <v>#REF!</v>
      </c>
      <c r="AO45" s="37" t="e">
        <f t="shared" si="6"/>
        <v>#REF!</v>
      </c>
      <c r="AP45" s="2"/>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5"/>
      <c r="DA45" s="5"/>
      <c r="DB45" s="5"/>
      <c r="DC45" s="5"/>
      <c r="DD45" s="5"/>
      <c r="DE45" s="5"/>
      <c r="DF45" s="5"/>
      <c r="DG45" s="5"/>
    </row>
    <row r="46" spans="1:111" ht="15" x14ac:dyDescent="0.25">
      <c r="A46" s="17" t="e">
        <f>#REF!</f>
        <v>#REF!</v>
      </c>
      <c r="B46" s="17" t="s">
        <v>121</v>
      </c>
      <c r="C46" s="33" t="e">
        <f>#REF!</f>
        <v>#REF!</v>
      </c>
      <c r="D46" s="17" t="e">
        <f>#REF!</f>
        <v>#REF!</v>
      </c>
      <c r="E46" s="34" t="e">
        <f>#REF!</f>
        <v>#REF!</v>
      </c>
      <c r="F46" s="35" t="e">
        <f>#REF!</f>
        <v>#REF!</v>
      </c>
      <c r="G46" s="36" t="e">
        <f t="shared" si="0"/>
        <v>#REF!</v>
      </c>
      <c r="H46" s="37" t="e">
        <f t="shared" si="2"/>
        <v>#REF!</v>
      </c>
      <c r="I46" s="33" t="e">
        <f>((C46-(F46*C46))*H46)+(G46*(F46*C46))</f>
        <v>#REF!</v>
      </c>
      <c r="J46" s="38" t="e">
        <f>I46/D46</f>
        <v>#REF!</v>
      </c>
      <c r="K46" s="46" t="e">
        <f>#REF!</f>
        <v>#REF!</v>
      </c>
      <c r="L46" s="46" t="e">
        <f>#REF!</f>
        <v>#REF!</v>
      </c>
      <c r="M46" s="35" t="e">
        <f>#REF!</f>
        <v>#REF!</v>
      </c>
      <c r="N46" s="38" t="e">
        <f>(((K46*L46*M46)/8.25)*((43560)^0.5)/(1*2))*(100/IF(#REF!=2,10,5))</f>
        <v>#REF!</v>
      </c>
      <c r="O46" s="47" t="e">
        <f>1/N46</f>
        <v>#REF!</v>
      </c>
      <c r="P46" s="33" t="e">
        <f>#REF!</f>
        <v>#REF!</v>
      </c>
      <c r="Q46" s="33" t="e">
        <f>#REF!</f>
        <v>#REF!</v>
      </c>
      <c r="R46" s="33" t="e">
        <f>#REF!</f>
        <v>#REF!</v>
      </c>
      <c r="S46" s="46" t="e">
        <f>#REF!</f>
        <v>#REF!</v>
      </c>
      <c r="T46" s="38" t="e">
        <f>J46*O46*S46</f>
        <v>#REF!</v>
      </c>
      <c r="U46" s="38" t="e">
        <f t="shared" si="21"/>
        <v>#REF!</v>
      </c>
      <c r="V46" s="38" t="e">
        <f>U46*O46*S46</f>
        <v>#REF!</v>
      </c>
      <c r="W46" s="38">
        <v>0.28000000000000003</v>
      </c>
      <c r="X46" s="48">
        <v>1.4</v>
      </c>
      <c r="Y46" s="49" t="e">
        <f>(C46*W46*(((E46*D46)/1000)^X46)/(E46*D46))*O46*S46</f>
        <v>#REF!</v>
      </c>
      <c r="Z46" s="50" t="e">
        <f>IF(Q46=4,0.003,0.007)</f>
        <v>#REF!</v>
      </c>
      <c r="AA46" s="48">
        <v>2</v>
      </c>
      <c r="AB46" s="49" t="e">
        <f t="shared" si="4"/>
        <v>#REF!</v>
      </c>
      <c r="AC46" s="46" t="e">
        <f>0.044*R46</f>
        <v>#REF!</v>
      </c>
      <c r="AD46" s="38" t="e">
        <f>AC46*O46*$AE$11*S46</f>
        <v>#REF!</v>
      </c>
      <c r="AE46" s="38" t="e">
        <f>AD46*0.1</f>
        <v>#REF!</v>
      </c>
      <c r="AF46" s="38" t="e">
        <f>SUM(AD46:AE46)</f>
        <v>#REF!</v>
      </c>
      <c r="AG46" s="38">
        <v>1.04</v>
      </c>
      <c r="AH46" s="29" t="e">
        <f>O46*S46*AG46</f>
        <v>#REF!</v>
      </c>
      <c r="AI46" s="38" t="e">
        <f>AH46*$AH$11</f>
        <v>#REF!</v>
      </c>
      <c r="AJ46" s="2"/>
      <c r="AK46" s="33" t="e">
        <f>#REF!</f>
        <v>#REF!</v>
      </c>
      <c r="AL46" s="17" t="e">
        <f>#REF!</f>
        <v>#REF!</v>
      </c>
      <c r="AM46" s="35" t="e">
        <f>#REF!</f>
        <v>#REF!</v>
      </c>
      <c r="AN46" s="36" t="e">
        <f t="shared" si="22"/>
        <v>#REF!</v>
      </c>
      <c r="AO46" s="37" t="e">
        <f t="shared" si="6"/>
        <v>#REF!</v>
      </c>
      <c r="AP46" s="2"/>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5"/>
      <c r="DA46" s="5"/>
      <c r="DB46" s="5"/>
      <c r="DC46" s="5"/>
      <c r="DD46" s="5"/>
      <c r="DE46" s="5"/>
      <c r="DF46" s="5"/>
      <c r="DG46" s="5"/>
    </row>
    <row r="47" spans="1:111" ht="15" x14ac:dyDescent="0.25">
      <c r="A47" s="17" t="e">
        <f>#REF!</f>
        <v>#REF!</v>
      </c>
      <c r="B47" s="17" t="s">
        <v>88</v>
      </c>
      <c r="C47" s="33" t="e">
        <f>#REF!</f>
        <v>#REF!</v>
      </c>
      <c r="D47" s="17" t="e">
        <f>#REF!</f>
        <v>#REF!</v>
      </c>
      <c r="E47" s="34" t="e">
        <f>#REF!</f>
        <v>#REF!</v>
      </c>
      <c r="F47" s="35" t="e">
        <f>#REF!</f>
        <v>#REF!</v>
      </c>
      <c r="G47" s="36" t="e">
        <f t="shared" si="0"/>
        <v>#REF!</v>
      </c>
      <c r="H47" s="37" t="e">
        <f t="shared" si="2"/>
        <v>#REF!</v>
      </c>
      <c r="I47" s="33" t="e">
        <f t="shared" si="7"/>
        <v>#REF!</v>
      </c>
      <c r="J47" s="38" t="e">
        <f t="shared" si="8"/>
        <v>#REF!</v>
      </c>
      <c r="K47" s="46" t="e">
        <f>#REF!</f>
        <v>#REF!</v>
      </c>
      <c r="L47" s="46" t="e">
        <f>#REF!</f>
        <v>#REF!</v>
      </c>
      <c r="M47" s="35" t="e">
        <f>#REF!</f>
        <v>#REF!</v>
      </c>
      <c r="N47" s="38" t="e">
        <f>(((K47*L47*M47)/8.25)*((43560)^0.5)/(1*2))*(100/IF(#REF!=2,10,5))</f>
        <v>#REF!</v>
      </c>
      <c r="O47" s="47" t="e">
        <f t="shared" si="9"/>
        <v>#REF!</v>
      </c>
      <c r="P47" s="33" t="e">
        <f>#REF!</f>
        <v>#REF!</v>
      </c>
      <c r="Q47" s="33" t="e">
        <f>#REF!</f>
        <v>#REF!</v>
      </c>
      <c r="R47" s="33" t="e">
        <f>#REF!</f>
        <v>#REF!</v>
      </c>
      <c r="S47" s="46" t="e">
        <f>#REF!</f>
        <v>#REF!</v>
      </c>
      <c r="T47" s="38" t="e">
        <f t="shared" si="10"/>
        <v>#REF!</v>
      </c>
      <c r="U47" s="38" t="e">
        <f t="shared" si="21"/>
        <v>#REF!</v>
      </c>
      <c r="V47" s="38" t="e">
        <f t="shared" si="11"/>
        <v>#REF!</v>
      </c>
      <c r="W47" s="38">
        <v>0.18</v>
      </c>
      <c r="X47" s="48">
        <v>1.7</v>
      </c>
      <c r="Y47" s="49" t="e">
        <f t="shared" si="12"/>
        <v>#REF!</v>
      </c>
      <c r="Z47" s="50" t="e">
        <f t="shared" si="13"/>
        <v>#REF!</v>
      </c>
      <c r="AA47" s="48">
        <v>2</v>
      </c>
      <c r="AB47" s="49" t="e">
        <f t="shared" si="4"/>
        <v>#REF!</v>
      </c>
      <c r="AC47" s="46" t="e">
        <f t="shared" si="14"/>
        <v>#REF!</v>
      </c>
      <c r="AD47" s="38" t="e">
        <f t="shared" si="15"/>
        <v>#REF!</v>
      </c>
      <c r="AE47" s="38" t="e">
        <f t="shared" si="16"/>
        <v>#REF!</v>
      </c>
      <c r="AF47" s="38" t="e">
        <f t="shared" si="17"/>
        <v>#REF!</v>
      </c>
      <c r="AG47" s="38">
        <f>1.04*4</f>
        <v>4.16</v>
      </c>
      <c r="AH47" s="29" t="e">
        <f t="shared" si="18"/>
        <v>#REF!</v>
      </c>
      <c r="AI47" s="38" t="e">
        <f t="shared" si="19"/>
        <v>#REF!</v>
      </c>
      <c r="AJ47" s="2"/>
      <c r="AK47" s="33" t="e">
        <f>#REF!</f>
        <v>#REF!</v>
      </c>
      <c r="AL47" s="17" t="e">
        <f>#REF!</f>
        <v>#REF!</v>
      </c>
      <c r="AM47" s="35" t="e">
        <f>#REF!</f>
        <v>#REF!</v>
      </c>
      <c r="AN47" s="36" t="e">
        <f t="shared" si="22"/>
        <v>#REF!</v>
      </c>
      <c r="AO47" s="37" t="e">
        <f t="shared" si="6"/>
        <v>#REF!</v>
      </c>
      <c r="AP47" s="2"/>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5"/>
      <c r="DA47" s="5"/>
      <c r="DB47" s="5"/>
      <c r="DC47" s="5"/>
      <c r="DD47" s="5"/>
      <c r="DE47" s="5"/>
      <c r="DF47" s="5"/>
      <c r="DG47" s="5"/>
    </row>
    <row r="48" spans="1:111" ht="15" x14ac:dyDescent="0.25">
      <c r="A48" s="17" t="e">
        <f>#REF!</f>
        <v>#REF!</v>
      </c>
      <c r="B48" s="17" t="s">
        <v>88</v>
      </c>
      <c r="C48" s="33" t="e">
        <f>#REF!</f>
        <v>#REF!</v>
      </c>
      <c r="D48" s="17" t="e">
        <f>#REF!</f>
        <v>#REF!</v>
      </c>
      <c r="E48" s="34" t="e">
        <f>#REF!</f>
        <v>#REF!</v>
      </c>
      <c r="F48" s="35" t="e">
        <f>#REF!</f>
        <v>#REF!</v>
      </c>
      <c r="G48" s="36" t="e">
        <f t="shared" si="0"/>
        <v>#REF!</v>
      </c>
      <c r="H48" s="37" t="e">
        <f t="shared" si="2"/>
        <v>#REF!</v>
      </c>
      <c r="I48" s="33" t="e">
        <f t="shared" si="7"/>
        <v>#REF!</v>
      </c>
      <c r="J48" s="38" t="e">
        <f t="shared" si="8"/>
        <v>#REF!</v>
      </c>
      <c r="K48" s="46" t="e">
        <f>#REF!</f>
        <v>#REF!</v>
      </c>
      <c r="L48" s="46" t="e">
        <f>#REF!</f>
        <v>#REF!</v>
      </c>
      <c r="M48" s="35" t="e">
        <f>M44</f>
        <v>#REF!</v>
      </c>
      <c r="N48" s="38" t="e">
        <f>(((K48*L48*M48)/8.25)*((43560)^0.5)/(1*2))*(100/IF(#REF!=2,10,5))</f>
        <v>#REF!</v>
      </c>
      <c r="O48" s="47" t="e">
        <f t="shared" si="9"/>
        <v>#REF!</v>
      </c>
      <c r="P48" s="33" t="e">
        <f>#REF!</f>
        <v>#REF!</v>
      </c>
      <c r="Q48" s="33" t="e">
        <f>#REF!</f>
        <v>#REF!</v>
      </c>
      <c r="R48" s="33" t="e">
        <f>#REF!</f>
        <v>#REF!</v>
      </c>
      <c r="S48" s="46" t="e">
        <f>#REF!</f>
        <v>#REF!</v>
      </c>
      <c r="T48" s="38" t="e">
        <f t="shared" si="10"/>
        <v>#REF!</v>
      </c>
      <c r="U48" s="38" t="e">
        <f t="shared" si="21"/>
        <v>#REF!</v>
      </c>
      <c r="V48" s="38" t="e">
        <f t="shared" si="11"/>
        <v>#REF!</v>
      </c>
      <c r="W48" s="38">
        <v>0.18</v>
      </c>
      <c r="X48" s="48">
        <v>1.7</v>
      </c>
      <c r="Y48" s="49" t="e">
        <f t="shared" si="12"/>
        <v>#REF!</v>
      </c>
      <c r="Z48" s="50" t="e">
        <f t="shared" si="13"/>
        <v>#REF!</v>
      </c>
      <c r="AA48" s="48">
        <v>2</v>
      </c>
      <c r="AB48" s="49" t="e">
        <f t="shared" si="4"/>
        <v>#REF!</v>
      </c>
      <c r="AC48" s="46" t="e">
        <f t="shared" si="14"/>
        <v>#REF!</v>
      </c>
      <c r="AD48" s="38" t="e">
        <f t="shared" si="15"/>
        <v>#REF!</v>
      </c>
      <c r="AE48" s="38" t="e">
        <f t="shared" si="16"/>
        <v>#REF!</v>
      </c>
      <c r="AF48" s="38" t="e">
        <f t="shared" si="17"/>
        <v>#REF!</v>
      </c>
      <c r="AG48" s="38">
        <v>1.04</v>
      </c>
      <c r="AH48" s="29" t="e">
        <f t="shared" si="18"/>
        <v>#REF!</v>
      </c>
      <c r="AI48" s="38" t="e">
        <f t="shared" si="19"/>
        <v>#REF!</v>
      </c>
      <c r="AJ48" s="2"/>
      <c r="AK48" s="33" t="e">
        <f>#REF!</f>
        <v>#REF!</v>
      </c>
      <c r="AL48" s="17" t="e">
        <f>#REF!</f>
        <v>#REF!</v>
      </c>
      <c r="AM48" s="35" t="e">
        <f>#REF!</f>
        <v>#REF!</v>
      </c>
      <c r="AN48" s="36" t="e">
        <f t="shared" si="22"/>
        <v>#REF!</v>
      </c>
      <c r="AO48" s="37" t="e">
        <f t="shared" si="6"/>
        <v>#REF!</v>
      </c>
      <c r="AP48" s="2"/>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5"/>
      <c r="DA48" s="5"/>
      <c r="DB48" s="5"/>
      <c r="DC48" s="5"/>
      <c r="DD48" s="5"/>
      <c r="DE48" s="5"/>
      <c r="DF48" s="5"/>
      <c r="DG48" s="5"/>
    </row>
    <row r="49" spans="1:111" ht="15" x14ac:dyDescent="0.25">
      <c r="A49" s="17" t="e">
        <f>#REF!</f>
        <v>#REF!</v>
      </c>
      <c r="B49" s="17" t="s">
        <v>202</v>
      </c>
      <c r="C49" s="33" t="e">
        <f>#REF!</f>
        <v>#REF!</v>
      </c>
      <c r="D49" s="17" t="e">
        <f>#REF!</f>
        <v>#REF!</v>
      </c>
      <c r="E49" s="34" t="e">
        <f>#REF!</f>
        <v>#REF!</v>
      </c>
      <c r="F49" s="35" t="e">
        <f>#REF!</f>
        <v>#REF!</v>
      </c>
      <c r="G49" s="36" t="e">
        <f t="shared" si="0"/>
        <v>#REF!</v>
      </c>
      <c r="H49" s="37" t="e">
        <f t="shared" si="2"/>
        <v>#REF!</v>
      </c>
      <c r="I49" s="33" t="e">
        <f t="shared" si="7"/>
        <v>#REF!</v>
      </c>
      <c r="J49" s="38" t="e">
        <f t="shared" si="8"/>
        <v>#REF!</v>
      </c>
      <c r="K49" s="46" t="e">
        <f>#REF!</f>
        <v>#REF!</v>
      </c>
      <c r="L49" s="46" t="e">
        <f>#REF!</f>
        <v>#REF!</v>
      </c>
      <c r="M49" s="35" t="e">
        <f>#REF!</f>
        <v>#REF!</v>
      </c>
      <c r="N49" s="38" t="e">
        <f>(K49*L49*M49)/8.25</f>
        <v>#REF!</v>
      </c>
      <c r="O49" s="47" t="e">
        <f t="shared" si="9"/>
        <v>#REF!</v>
      </c>
      <c r="P49" s="33" t="e">
        <f>#REF!</f>
        <v>#REF!</v>
      </c>
      <c r="Q49" s="33" t="e">
        <f>#REF!</f>
        <v>#REF!</v>
      </c>
      <c r="R49" s="33" t="e">
        <f>#REF!</f>
        <v>#REF!</v>
      </c>
      <c r="S49" s="46" t="e">
        <f>#REF!</f>
        <v>#REF!</v>
      </c>
      <c r="T49" s="38" t="e">
        <f t="shared" si="10"/>
        <v>#REF!</v>
      </c>
      <c r="U49" s="38" t="e">
        <f t="shared" si="21"/>
        <v>#REF!</v>
      </c>
      <c r="V49" s="38" t="e">
        <f t="shared" si="11"/>
        <v>#REF!</v>
      </c>
      <c r="W49" s="38">
        <v>0.44</v>
      </c>
      <c r="X49" s="48">
        <v>2</v>
      </c>
      <c r="Y49" s="49" t="e">
        <f t="shared" si="12"/>
        <v>#REF!</v>
      </c>
      <c r="Z49" s="50" t="e">
        <f t="shared" si="13"/>
        <v>#REF!</v>
      </c>
      <c r="AA49" s="48">
        <v>2</v>
      </c>
      <c r="AB49" s="49" t="e">
        <f t="shared" si="4"/>
        <v>#REF!</v>
      </c>
      <c r="AC49" s="46" t="e">
        <f t="shared" si="14"/>
        <v>#REF!</v>
      </c>
      <c r="AD49" s="38" t="e">
        <f t="shared" si="15"/>
        <v>#REF!</v>
      </c>
      <c r="AE49" s="38" t="e">
        <f t="shared" si="16"/>
        <v>#REF!</v>
      </c>
      <c r="AF49" s="38" t="e">
        <f t="shared" si="17"/>
        <v>#REF!</v>
      </c>
      <c r="AG49" s="38">
        <v>1.1000000000000001</v>
      </c>
      <c r="AH49" s="29" t="e">
        <f t="shared" si="18"/>
        <v>#REF!</v>
      </c>
      <c r="AI49" s="38" t="e">
        <f t="shared" si="19"/>
        <v>#REF!</v>
      </c>
      <c r="AJ49" s="2"/>
      <c r="AK49" s="33" t="e">
        <f>#REF!</f>
        <v>#REF!</v>
      </c>
      <c r="AL49" s="17" t="e">
        <f>#REF!</f>
        <v>#REF!</v>
      </c>
      <c r="AM49" s="35" t="e">
        <f>#REF!</f>
        <v>#REF!</v>
      </c>
      <c r="AN49" s="36" t="e">
        <f t="shared" si="22"/>
        <v>#REF!</v>
      </c>
      <c r="AO49" s="37" t="e">
        <f t="shared" si="6"/>
        <v>#REF!</v>
      </c>
      <c r="AP49" s="2"/>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5"/>
      <c r="DA49" s="5"/>
      <c r="DB49" s="5"/>
      <c r="DC49" s="5"/>
      <c r="DD49" s="5"/>
      <c r="DE49" s="5"/>
      <c r="DF49" s="5"/>
      <c r="DG49" s="5"/>
    </row>
    <row r="50" spans="1:111" x14ac:dyDescent="0.2">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2"/>
      <c r="AK50" s="2"/>
      <c r="AL50" s="2"/>
      <c r="AM50" s="2"/>
      <c r="AN50" s="2"/>
      <c r="AO50" s="2"/>
      <c r="AP50" s="2"/>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5"/>
      <c r="DA50" s="5"/>
      <c r="DB50" s="5"/>
      <c r="DC50" s="5"/>
      <c r="DD50" s="5"/>
      <c r="DE50" s="5"/>
      <c r="DF50" s="5"/>
      <c r="DG50" s="5"/>
    </row>
    <row r="51" spans="1:111" ht="14.25" x14ac:dyDescent="0.2">
      <c r="A51" s="41" t="s">
        <v>198</v>
      </c>
      <c r="B51" s="51"/>
      <c r="C51" s="52"/>
      <c r="D51" s="52"/>
      <c r="E51" s="52"/>
      <c r="F51" s="52"/>
      <c r="G51" s="52"/>
      <c r="H51" s="52"/>
      <c r="I51" s="52"/>
      <c r="J51" s="52"/>
      <c r="K51" s="51"/>
      <c r="L51" s="51"/>
      <c r="M51" s="21"/>
      <c r="N51" s="51"/>
      <c r="O51" s="51"/>
      <c r="P51" s="51"/>
      <c r="Q51" s="51"/>
      <c r="R51" s="51"/>
      <c r="S51" s="51"/>
      <c r="T51" s="21" t="e">
        <f>SUM(T14:T49)</f>
        <v>#REF!</v>
      </c>
      <c r="U51" s="51"/>
      <c r="V51" s="21" t="e">
        <f>SUM(V14:V49)</f>
        <v>#REF!</v>
      </c>
      <c r="W51" s="51"/>
      <c r="X51" s="51"/>
      <c r="Y51" s="21" t="e">
        <f>SUM(Y14:Y49)</f>
        <v>#REF!</v>
      </c>
      <c r="Z51" s="53"/>
      <c r="AA51" s="51"/>
      <c r="AB51" s="21" t="e">
        <f>SUM(AB14:AB49)</f>
        <v>#REF!</v>
      </c>
      <c r="AC51" s="51"/>
      <c r="AD51" s="21" t="e">
        <f>SUM(AD14:AD49)</f>
        <v>#REF!</v>
      </c>
      <c r="AE51" s="21" t="e">
        <f>SUM(AE14:AE49)</f>
        <v>#REF!</v>
      </c>
      <c r="AF51" s="21"/>
      <c r="AG51" s="51"/>
      <c r="AH51" s="54" t="e">
        <f>SUM(AH14:AH49)</f>
        <v>#REF!</v>
      </c>
      <c r="AI51" s="21" t="e">
        <f>SUM(AI14:AI49)</f>
        <v>#REF!</v>
      </c>
      <c r="AJ51" s="2"/>
      <c r="AK51" s="51"/>
      <c r="AL51" s="51"/>
      <c r="AM51" s="51"/>
      <c r="AN51" s="51"/>
      <c r="AO51" s="51"/>
      <c r="AP51" s="2"/>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5"/>
      <c r="DA51" s="5"/>
      <c r="DB51" s="5"/>
      <c r="DC51" s="5"/>
      <c r="DD51" s="5"/>
      <c r="DE51" s="5"/>
      <c r="DF51" s="5"/>
      <c r="DG51" s="5"/>
    </row>
    <row r="52" spans="1:111" ht="15" x14ac:dyDescent="0.25">
      <c r="A52" s="2"/>
      <c r="B52" s="2"/>
      <c r="C52" s="2"/>
      <c r="D52" s="17"/>
      <c r="E52" s="17"/>
      <c r="F52" s="17"/>
      <c r="G52" s="17"/>
      <c r="H52" s="17"/>
      <c r="I52" s="17"/>
      <c r="J52" s="17"/>
      <c r="K52" s="17"/>
      <c r="L52" s="17"/>
      <c r="M52" s="27"/>
      <c r="N52" s="2"/>
      <c r="O52" s="2"/>
      <c r="P52" s="2"/>
      <c r="Q52" s="2"/>
      <c r="R52" s="2"/>
      <c r="S52" s="2"/>
      <c r="T52" s="2"/>
      <c r="U52" s="2"/>
      <c r="V52" s="2"/>
      <c r="W52" s="17"/>
      <c r="X52" s="17"/>
      <c r="Y52" s="17"/>
      <c r="Z52" s="17"/>
      <c r="AA52" s="17"/>
      <c r="AB52" s="17"/>
      <c r="AC52" s="27"/>
      <c r="AD52" s="27"/>
      <c r="AE52" s="27"/>
      <c r="AF52" s="27"/>
      <c r="AG52" s="27"/>
      <c r="AH52" s="7"/>
      <c r="AI52" s="27"/>
      <c r="AJ52" s="2"/>
      <c r="AK52" s="2"/>
      <c r="AL52" s="2"/>
      <c r="AM52" s="2"/>
      <c r="AN52" s="2"/>
      <c r="AO52" s="2"/>
      <c r="AP52" s="2"/>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5"/>
      <c r="DA52" s="5"/>
      <c r="DB52" s="5"/>
      <c r="DC52" s="5"/>
      <c r="DD52" s="5"/>
      <c r="DE52" s="5"/>
      <c r="DF52" s="5"/>
      <c r="DG52" s="5"/>
    </row>
    <row r="53" spans="1:111" ht="15" x14ac:dyDescent="0.25">
      <c r="A53" s="17" t="e">
        <f>#REF!</f>
        <v>#REF!</v>
      </c>
      <c r="B53" s="17" t="s">
        <v>118</v>
      </c>
      <c r="C53" s="33" t="e">
        <f>#REF!</f>
        <v>#REF!</v>
      </c>
      <c r="D53" s="17" t="e">
        <f>#REF!</f>
        <v>#REF!</v>
      </c>
      <c r="E53" s="34" t="e">
        <f>#REF!</f>
        <v>#REF!</v>
      </c>
      <c r="F53" s="35" t="e">
        <f>#REF!</f>
        <v>#REF!</v>
      </c>
      <c r="G53" s="36" t="e">
        <f>$I$8</f>
        <v>#REF!</v>
      </c>
      <c r="H53" s="37" t="e">
        <f>(G53*(1+G53)^E53)/((1+G53)^E53-1)</f>
        <v>#REF!</v>
      </c>
      <c r="I53" s="33" t="e">
        <f>((C53-(F53*C53))*H53)+(G53*(F53*C53))</f>
        <v>#REF!</v>
      </c>
      <c r="J53" s="38" t="e">
        <f>I53/D53</f>
        <v>#REF!</v>
      </c>
      <c r="K53" s="46" t="e">
        <f>#REF!</f>
        <v>#REF!</v>
      </c>
      <c r="L53" s="46" t="e">
        <f>#REF!</f>
        <v>#REF!</v>
      </c>
      <c r="M53" s="35" t="e">
        <f>#REF!</f>
        <v>#REF!</v>
      </c>
      <c r="N53" s="38" t="e">
        <f>(K53*L53*M53)/8.25</f>
        <v>#REF!</v>
      </c>
      <c r="O53" s="47" t="e">
        <f>1/N53</f>
        <v>#REF!</v>
      </c>
      <c r="P53" s="33">
        <v>0</v>
      </c>
      <c r="Q53" s="2"/>
      <c r="R53" s="33" t="e">
        <f>#REF!</f>
        <v>#REF!</v>
      </c>
      <c r="S53" s="46" t="e">
        <f>#REF!</f>
        <v>#REF!</v>
      </c>
      <c r="T53" s="38" t="e">
        <f>J53*O53*S53</f>
        <v>#REF!</v>
      </c>
      <c r="U53" s="38"/>
      <c r="V53" s="38"/>
      <c r="W53" s="38">
        <v>0.11</v>
      </c>
      <c r="X53" s="48">
        <v>1.8</v>
      </c>
      <c r="Y53" s="49" t="e">
        <f>(C53*W53*(((E53*D53)/1000)^X53)/(E53*D53))*O53*S53</f>
        <v>#REF!</v>
      </c>
      <c r="Z53" s="50"/>
      <c r="AA53" s="48"/>
      <c r="AB53" s="49"/>
      <c r="AC53" s="17" t="e">
        <f>0.044*R53</f>
        <v>#REF!</v>
      </c>
      <c r="AD53" s="38" t="e">
        <f>AC53*O53*$AE$11*S53</f>
        <v>#REF!</v>
      </c>
      <c r="AE53" s="38" t="e">
        <f>AD53*0.1</f>
        <v>#REF!</v>
      </c>
      <c r="AF53" s="38" t="e">
        <f>SUM(AD53:AE53)</f>
        <v>#REF!</v>
      </c>
      <c r="AG53" s="17">
        <v>1.25</v>
      </c>
      <c r="AH53" s="47" t="e">
        <f>O53*S53*AG53</f>
        <v>#REF!</v>
      </c>
      <c r="AI53" s="38" t="e">
        <f>AH53*$AH$11</f>
        <v>#REF!</v>
      </c>
      <c r="AJ53" s="2"/>
      <c r="AK53" s="33"/>
      <c r="AL53" s="17"/>
      <c r="AM53" s="35"/>
      <c r="AN53" s="36"/>
      <c r="AO53" s="37"/>
      <c r="AP53" s="2"/>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5"/>
      <c r="DA53" s="5"/>
      <c r="DB53" s="5"/>
      <c r="DC53" s="5"/>
      <c r="DD53" s="5"/>
      <c r="DE53" s="5"/>
      <c r="DF53" s="5"/>
      <c r="DG53" s="5"/>
    </row>
    <row r="54" spans="1:111" ht="15" x14ac:dyDescent="0.25">
      <c r="A54" s="2"/>
      <c r="B54" s="2"/>
      <c r="C54" s="2"/>
      <c r="D54" s="17"/>
      <c r="E54" s="17"/>
      <c r="F54" s="17"/>
      <c r="G54" s="17"/>
      <c r="H54" s="17"/>
      <c r="I54" s="17"/>
      <c r="J54" s="17"/>
      <c r="K54" s="17"/>
      <c r="L54" s="17"/>
      <c r="M54" s="27"/>
      <c r="N54" s="2"/>
      <c r="O54" s="2"/>
      <c r="P54" s="2"/>
      <c r="Q54" s="2"/>
      <c r="R54" s="2"/>
      <c r="S54" s="2"/>
      <c r="T54" s="2"/>
      <c r="U54" s="2"/>
      <c r="V54" s="2"/>
      <c r="W54" s="17"/>
      <c r="X54" s="17"/>
      <c r="Y54" s="17"/>
      <c r="Z54" s="17"/>
      <c r="AA54" s="17"/>
      <c r="AB54" s="17"/>
      <c r="AC54" s="27"/>
      <c r="AD54" s="27"/>
      <c r="AE54" s="27"/>
      <c r="AF54" s="27"/>
      <c r="AG54" s="27"/>
      <c r="AH54" s="7"/>
      <c r="AI54" s="27"/>
      <c r="AJ54" s="2"/>
      <c r="AK54" s="2"/>
      <c r="AL54" s="2"/>
      <c r="AM54" s="2"/>
      <c r="AN54" s="2"/>
      <c r="AO54" s="2"/>
      <c r="AP54" s="2"/>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5"/>
      <c r="DA54" s="5"/>
      <c r="DB54" s="5"/>
      <c r="DC54" s="5"/>
      <c r="DD54" s="5"/>
      <c r="DE54" s="5"/>
      <c r="DF54" s="5"/>
      <c r="DG54" s="5"/>
    </row>
    <row r="55" spans="1:111" ht="14.25" x14ac:dyDescent="0.2">
      <c r="A55" s="41" t="s">
        <v>197</v>
      </c>
      <c r="B55" s="51"/>
      <c r="C55" s="52"/>
      <c r="D55" s="52"/>
      <c r="E55" s="52"/>
      <c r="F55" s="52"/>
      <c r="G55" s="52"/>
      <c r="H55" s="52"/>
      <c r="I55" s="52"/>
      <c r="J55" s="52"/>
      <c r="K55" s="51"/>
      <c r="L55" s="51"/>
      <c r="M55" s="21"/>
      <c r="N55" s="51"/>
      <c r="O55" s="51"/>
      <c r="P55" s="51"/>
      <c r="Q55" s="51"/>
      <c r="R55" s="51"/>
      <c r="S55" s="51"/>
      <c r="T55" s="21" t="e">
        <f>SUM(T53:T53)</f>
        <v>#REF!</v>
      </c>
      <c r="U55" s="51"/>
      <c r="V55" s="21">
        <f>SUM(V53:V53)</f>
        <v>0</v>
      </c>
      <c r="W55" s="51"/>
      <c r="X55" s="51"/>
      <c r="Y55" s="21" t="e">
        <f>SUM(Y53:Y53)</f>
        <v>#REF!</v>
      </c>
      <c r="Z55" s="53"/>
      <c r="AA55" s="51"/>
      <c r="AB55" s="21">
        <f>SUM(AB53:AB53)</f>
        <v>0</v>
      </c>
      <c r="AC55" s="51"/>
      <c r="AD55" s="21" t="e">
        <f>SUM(AD53:AD53)</f>
        <v>#REF!</v>
      </c>
      <c r="AE55" s="21" t="e">
        <f>SUM(AE53:AE53)</f>
        <v>#REF!</v>
      </c>
      <c r="AF55" s="21"/>
      <c r="AG55" s="51"/>
      <c r="AH55" s="54" t="e">
        <f>SUM(AH53:AH53)</f>
        <v>#REF!</v>
      </c>
      <c r="AI55" s="21" t="e">
        <f>SUM(AI53:AI53)</f>
        <v>#REF!</v>
      </c>
      <c r="AJ55" s="2"/>
      <c r="AK55" s="51"/>
      <c r="AL55" s="51"/>
      <c r="AM55" s="51"/>
      <c r="AN55" s="51"/>
      <c r="AO55" s="51"/>
      <c r="AP55" s="2"/>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5"/>
      <c r="DA55" s="5"/>
      <c r="DB55" s="5"/>
      <c r="DC55" s="5"/>
      <c r="DD55" s="5"/>
      <c r="DE55" s="5"/>
      <c r="DF55" s="5"/>
      <c r="DG55" s="5"/>
    </row>
    <row r="56" spans="1:11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7"/>
      <c r="AI56" s="2"/>
      <c r="AJ56" s="2"/>
      <c r="AK56" s="2"/>
      <c r="AL56" s="2"/>
      <c r="AM56" s="2"/>
      <c r="AN56" s="2"/>
      <c r="AO56" s="2"/>
      <c r="AP56" s="2"/>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5"/>
      <c r="DA56" s="5"/>
      <c r="DB56" s="5"/>
      <c r="DC56" s="5"/>
      <c r="DD56" s="5"/>
      <c r="DE56" s="5"/>
      <c r="DF56" s="5"/>
      <c r="DG56" s="5"/>
    </row>
    <row r="57" spans="1:111" ht="15" x14ac:dyDescent="0.25">
      <c r="A57" s="17" t="e">
        <f>#REF!</f>
        <v>#REF!</v>
      </c>
      <c r="B57" s="17" t="s">
        <v>192</v>
      </c>
      <c r="C57" s="33" t="e">
        <f>#REF!</f>
        <v>#REF!</v>
      </c>
      <c r="D57" s="17" t="e">
        <f>#REF!</f>
        <v>#REF!</v>
      </c>
      <c r="E57" s="34" t="e">
        <f>#REF!</f>
        <v>#REF!</v>
      </c>
      <c r="F57" s="35" t="e">
        <f>#REF!</f>
        <v>#REF!</v>
      </c>
      <c r="G57" s="36" t="e">
        <f t="shared" ref="G57:G66" si="23">$I$8</f>
        <v>#REF!</v>
      </c>
      <c r="H57" s="37" t="e">
        <f t="shared" ref="H57:H66" si="24">(G57*(1+G57)^E57)/((1+G57)^E57-1)</f>
        <v>#REF!</v>
      </c>
      <c r="I57" s="33" t="e">
        <f t="shared" ref="I57:I66" si="25">((C57-(F57*C57))*H57)+(G57*(F57*C57))</f>
        <v>#REF!</v>
      </c>
      <c r="J57" s="38" t="e">
        <f t="shared" ref="J57:J66" si="26">I57/D57</f>
        <v>#REF!</v>
      </c>
      <c r="K57" s="46" t="e">
        <f>#REF!</f>
        <v>#REF!</v>
      </c>
      <c r="L57" s="46" t="e">
        <f>#REF!</f>
        <v>#REF!</v>
      </c>
      <c r="M57" s="35" t="e">
        <f>#REF!</f>
        <v>#REF!</v>
      </c>
      <c r="N57" s="38" t="e">
        <f t="shared" ref="N57:N66" si="27">(K57*L57*M57)/8.25</f>
        <v>#REF!</v>
      </c>
      <c r="O57" s="47" t="e">
        <f t="shared" ref="O57:O66" si="28">1/N57</f>
        <v>#REF!</v>
      </c>
      <c r="P57" s="33">
        <v>400000</v>
      </c>
      <c r="Q57" s="2"/>
      <c r="R57" s="33" t="e">
        <f>#REF!</f>
        <v>#REF!</v>
      </c>
      <c r="S57" s="46" t="e">
        <f>#REF!</f>
        <v>#REF!</v>
      </c>
      <c r="T57" s="38" t="e">
        <f t="shared" ref="T57:T66" si="29">J57*O57*S57</f>
        <v>#REF!</v>
      </c>
      <c r="U57" s="38"/>
      <c r="V57" s="38"/>
      <c r="W57" s="38">
        <v>0.11</v>
      </c>
      <c r="X57" s="48">
        <v>1.8</v>
      </c>
      <c r="Y57" s="49" t="e">
        <f t="shared" ref="Y57:Y66" si="30">(C57*W57*(((E57*D57)/1000)^X57)/(E57*D57))*O57*S57</f>
        <v>#REF!</v>
      </c>
      <c r="Z57" s="50"/>
      <c r="AA57" s="48"/>
      <c r="AB57" s="49"/>
      <c r="AC57" s="46" t="e">
        <f>0.044*R57</f>
        <v>#REF!</v>
      </c>
      <c r="AD57" s="38" t="e">
        <f>AC57*O57*$AF$11*S57</f>
        <v>#REF!</v>
      </c>
      <c r="AE57" s="38" t="e">
        <f>AD57*0.1</f>
        <v>#REF!</v>
      </c>
      <c r="AF57" s="38" t="e">
        <f>SUM(AD57:AE57)</f>
        <v>#REF!</v>
      </c>
      <c r="AG57" s="38">
        <v>1.1100000000000001</v>
      </c>
      <c r="AH57" s="47" t="e">
        <f t="shared" ref="AH57:AH66" si="31">O57*S57*AG57</f>
        <v>#REF!</v>
      </c>
      <c r="AI57" s="38" t="e">
        <f t="shared" ref="AI57:AI66" si="32">AH57*$AH$11</f>
        <v>#REF!</v>
      </c>
      <c r="AJ57" s="2"/>
      <c r="AK57" s="33"/>
      <c r="AL57" s="17"/>
      <c r="AM57" s="35"/>
      <c r="AN57" s="36"/>
      <c r="AO57" s="37"/>
      <c r="AP57" s="2"/>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5"/>
      <c r="DA57" s="5"/>
      <c r="DB57" s="5"/>
      <c r="DC57" s="5"/>
      <c r="DD57" s="5"/>
      <c r="DE57" s="5"/>
      <c r="DF57" s="5"/>
      <c r="DG57" s="5"/>
    </row>
    <row r="58" spans="1:111" ht="15" x14ac:dyDescent="0.25">
      <c r="A58" s="17" t="e">
        <f>#REF!</f>
        <v>#REF!</v>
      </c>
      <c r="B58" s="7" t="s">
        <v>134</v>
      </c>
      <c r="C58" s="33" t="e">
        <f>#REF!</f>
        <v>#REF!</v>
      </c>
      <c r="D58" s="17" t="e">
        <f>#REF!</f>
        <v>#REF!</v>
      </c>
      <c r="E58" s="34" t="e">
        <f>#REF!</f>
        <v>#REF!</v>
      </c>
      <c r="F58" s="35" t="e">
        <f>#REF!</f>
        <v>#REF!</v>
      </c>
      <c r="G58" s="36" t="e">
        <f t="shared" si="23"/>
        <v>#REF!</v>
      </c>
      <c r="H58" s="37" t="e">
        <f t="shared" si="24"/>
        <v>#REF!</v>
      </c>
      <c r="I58" s="33" t="e">
        <f t="shared" si="25"/>
        <v>#REF!</v>
      </c>
      <c r="J58" s="38" t="e">
        <f t="shared" si="26"/>
        <v>#REF!</v>
      </c>
      <c r="K58" s="46" t="e">
        <f>#REF!</f>
        <v>#REF!</v>
      </c>
      <c r="L58" s="46" t="e">
        <f>#REF!</f>
        <v>#REF!</v>
      </c>
      <c r="M58" s="35" t="e">
        <f>#REF!</f>
        <v>#REF!</v>
      </c>
      <c r="N58" s="38" t="e">
        <f t="shared" si="27"/>
        <v>#REF!</v>
      </c>
      <c r="O58" s="47" t="e">
        <f t="shared" si="28"/>
        <v>#REF!</v>
      </c>
      <c r="P58" s="33" t="e">
        <f>#REF!</f>
        <v>#REF!</v>
      </c>
      <c r="Q58" s="17" t="e">
        <f>#REF!</f>
        <v>#REF!</v>
      </c>
      <c r="R58" s="33" t="e">
        <f>#REF!</f>
        <v>#REF!</v>
      </c>
      <c r="S58" s="46" t="e">
        <f>#REF!</f>
        <v>#REF!</v>
      </c>
      <c r="T58" s="38" t="e">
        <f t="shared" si="29"/>
        <v>#REF!</v>
      </c>
      <c r="U58" s="38" t="e">
        <f>(((P58-(AM58*P58))*AO58)+(AN58*(AM58*P58)))/AK58</f>
        <v>#REF!</v>
      </c>
      <c r="V58" s="38" t="e">
        <f>U58*O58*S58</f>
        <v>#REF!</v>
      </c>
      <c r="W58" s="38">
        <v>0.19</v>
      </c>
      <c r="X58" s="48">
        <v>1.3</v>
      </c>
      <c r="Y58" s="49" t="e">
        <f t="shared" si="30"/>
        <v>#REF!</v>
      </c>
      <c r="Z58" s="50" t="e">
        <f>IF(Q58=4,0.003,0.007)</f>
        <v>#REF!</v>
      </c>
      <c r="AA58" s="48">
        <v>2</v>
      </c>
      <c r="AB58" s="49" t="e">
        <f>(P58*Z58*(((AL58*AK58)/1000)^AA58)/(AL58*AK58))*O58*S58</f>
        <v>#REF!</v>
      </c>
      <c r="AC58" s="46" t="e">
        <f>0.044*R58</f>
        <v>#REF!</v>
      </c>
      <c r="AD58" s="38" t="e">
        <f>AC58*O58*$AF$11*S58</f>
        <v>#REF!</v>
      </c>
      <c r="AE58" s="38" t="e">
        <f>AD58*0.1</f>
        <v>#REF!</v>
      </c>
      <c r="AF58" s="38" t="e">
        <f>SUM(AD58:AE58)</f>
        <v>#REF!</v>
      </c>
      <c r="AG58" s="38">
        <v>1.1100000000000001</v>
      </c>
      <c r="AH58" s="47" t="e">
        <f t="shared" si="31"/>
        <v>#REF!</v>
      </c>
      <c r="AI58" s="38" t="e">
        <f t="shared" si="32"/>
        <v>#REF!</v>
      </c>
      <c r="AJ58" s="2"/>
      <c r="AK58" s="33" t="e">
        <f>#REF!</f>
        <v>#REF!</v>
      </c>
      <c r="AL58" s="17" t="e">
        <f>#REF!</f>
        <v>#REF!</v>
      </c>
      <c r="AM58" s="35" t="e">
        <f>#REF!</f>
        <v>#REF!</v>
      </c>
      <c r="AN58" s="36" t="e">
        <f>$I$8</f>
        <v>#REF!</v>
      </c>
      <c r="AO58" s="37" t="e">
        <f t="shared" ref="AO58:AO66" si="33">(AN58*(1+AN58)^AL58)/((1+AN58)^AL58-1)</f>
        <v>#REF!</v>
      </c>
      <c r="AP58" s="2"/>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5"/>
      <c r="DA58" s="5"/>
      <c r="DB58" s="5"/>
      <c r="DC58" s="5"/>
      <c r="DD58" s="5"/>
      <c r="DE58" s="5"/>
      <c r="DF58" s="5"/>
      <c r="DG58" s="5"/>
    </row>
    <row r="59" spans="1:111" ht="15" x14ac:dyDescent="0.25">
      <c r="A59" s="17" t="e">
        <f>#REF!</f>
        <v>#REF!</v>
      </c>
      <c r="B59" s="17" t="s">
        <v>135</v>
      </c>
      <c r="C59" s="33" t="e">
        <f>#REF!</f>
        <v>#REF!</v>
      </c>
      <c r="D59" s="17" t="e">
        <f>#REF!</f>
        <v>#REF!</v>
      </c>
      <c r="E59" s="34" t="e">
        <f>#REF!</f>
        <v>#REF!</v>
      </c>
      <c r="F59" s="35" t="e">
        <f>#REF!</f>
        <v>#REF!</v>
      </c>
      <c r="G59" s="36" t="e">
        <f t="shared" si="23"/>
        <v>#REF!</v>
      </c>
      <c r="H59" s="37" t="e">
        <f t="shared" si="24"/>
        <v>#REF!</v>
      </c>
      <c r="I59" s="33" t="e">
        <f t="shared" si="25"/>
        <v>#REF!</v>
      </c>
      <c r="J59" s="38" t="e">
        <f t="shared" si="26"/>
        <v>#REF!</v>
      </c>
      <c r="K59" s="46" t="e">
        <f>#REF!</f>
        <v>#REF!</v>
      </c>
      <c r="L59" s="46" t="e">
        <f>#REF!</f>
        <v>#REF!</v>
      </c>
      <c r="M59" s="35" t="e">
        <f>#REF!</f>
        <v>#REF!</v>
      </c>
      <c r="N59" s="38" t="e">
        <f t="shared" si="27"/>
        <v>#REF!</v>
      </c>
      <c r="O59" s="47" t="e">
        <f t="shared" si="28"/>
        <v>#REF!</v>
      </c>
      <c r="P59" s="33" t="e">
        <f>#REF!</f>
        <v>#REF!</v>
      </c>
      <c r="Q59" s="17" t="e">
        <f>#REF!</f>
        <v>#REF!</v>
      </c>
      <c r="R59" s="33" t="e">
        <f>#REF!</f>
        <v>#REF!</v>
      </c>
      <c r="S59" s="46" t="e">
        <f>#REF!</f>
        <v>#REF!</v>
      </c>
      <c r="T59" s="38" t="e">
        <f t="shared" si="29"/>
        <v>#REF!</v>
      </c>
      <c r="U59" s="38" t="e">
        <f>(((P59-(AM59*P59))*AO59)+(AN59*(AM59*P59)))/AK59</f>
        <v>#REF!</v>
      </c>
      <c r="V59" s="38" t="e">
        <f>U59*O59*S59</f>
        <v>#REF!</v>
      </c>
      <c r="W59" s="38">
        <v>0.19</v>
      </c>
      <c r="X59" s="48">
        <v>1.3</v>
      </c>
      <c r="Y59" s="49" t="e">
        <f t="shared" si="30"/>
        <v>#REF!</v>
      </c>
      <c r="Z59" s="50" t="e">
        <f>IF(Q59=4,0.003,0.007)</f>
        <v>#REF!</v>
      </c>
      <c r="AA59" s="48">
        <v>2</v>
      </c>
      <c r="AB59" s="49" t="e">
        <f>(P59*Z59*(((AL59*AK59)/1000)^AA59)/(AL59*AK59))*O59*S59</f>
        <v>#REF!</v>
      </c>
      <c r="AC59" s="46" t="e">
        <f>0.044*R59</f>
        <v>#REF!</v>
      </c>
      <c r="AD59" s="38" t="e">
        <f>AC59*O59*$AF$11*S59</f>
        <v>#REF!</v>
      </c>
      <c r="AE59" s="38" t="e">
        <f>AD59*0.1</f>
        <v>#REF!</v>
      </c>
      <c r="AF59" s="38" t="e">
        <f>SUM(AD59:AE59)</f>
        <v>#REF!</v>
      </c>
      <c r="AG59" s="38">
        <f>1.11+(1.11*2)</f>
        <v>3.33</v>
      </c>
      <c r="AH59" s="47" t="e">
        <f t="shared" si="31"/>
        <v>#REF!</v>
      </c>
      <c r="AI59" s="38" t="e">
        <f t="shared" si="32"/>
        <v>#REF!</v>
      </c>
      <c r="AJ59" s="2"/>
      <c r="AK59" s="33" t="e">
        <f>#REF!</f>
        <v>#REF!</v>
      </c>
      <c r="AL59" s="17" t="e">
        <f>#REF!</f>
        <v>#REF!</v>
      </c>
      <c r="AM59" s="35" t="e">
        <f>#REF!</f>
        <v>#REF!</v>
      </c>
      <c r="AN59" s="36" t="e">
        <f>$I$8</f>
        <v>#REF!</v>
      </c>
      <c r="AO59" s="37" t="e">
        <f t="shared" si="33"/>
        <v>#REF!</v>
      </c>
      <c r="AP59" s="2"/>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5"/>
      <c r="DA59" s="5"/>
      <c r="DB59" s="5"/>
      <c r="DC59" s="5"/>
      <c r="DD59" s="5"/>
      <c r="DE59" s="5"/>
      <c r="DF59" s="5"/>
      <c r="DG59" s="5"/>
    </row>
    <row r="60" spans="1:111" ht="15" x14ac:dyDescent="0.25">
      <c r="A60" s="17" t="e">
        <f>#REF!</f>
        <v>#REF!</v>
      </c>
      <c r="B60" s="17" t="s">
        <v>192</v>
      </c>
      <c r="C60" s="33" t="e">
        <f>IF(#REF!+#REF!=1,#REF!,1/0)</f>
        <v>#REF!</v>
      </c>
      <c r="D60" s="17" t="e">
        <f>#REF!</f>
        <v>#REF!</v>
      </c>
      <c r="E60" s="34" t="e">
        <f>#REF!</f>
        <v>#REF!</v>
      </c>
      <c r="F60" s="35" t="e">
        <f>#REF!</f>
        <v>#REF!</v>
      </c>
      <c r="G60" s="36" t="e">
        <f t="shared" si="23"/>
        <v>#REF!</v>
      </c>
      <c r="H60" s="37" t="e">
        <f t="shared" si="24"/>
        <v>#REF!</v>
      </c>
      <c r="I60" s="33" t="e">
        <f>((C60-(F60*C60))*H60)+(G60*(F60*C60))</f>
        <v>#REF!</v>
      </c>
      <c r="J60" s="38" t="e">
        <f>I60/D60</f>
        <v>#REF!</v>
      </c>
      <c r="K60" s="46" t="e">
        <f>#REF!</f>
        <v>#REF!</v>
      </c>
      <c r="L60" s="46" t="e">
        <f>#REF!</f>
        <v>#REF!</v>
      </c>
      <c r="M60" s="35" t="e">
        <f>#REF!</f>
        <v>#REF!</v>
      </c>
      <c r="N60" s="38" t="e">
        <f>(K60*L60*M60)/8.25</f>
        <v>#REF!</v>
      </c>
      <c r="O60" s="47" t="e">
        <f>1/N60</f>
        <v>#REF!</v>
      </c>
      <c r="P60" s="33" t="e">
        <f>IF(AND(C60&gt;0,#REF!=1),#REF!+#REF!,0)</f>
        <v>#REF!</v>
      </c>
      <c r="Q60" s="17" t="e">
        <f>#REF!</f>
        <v>#REF!</v>
      </c>
      <c r="R60" s="33" t="e">
        <f>#REF!</f>
        <v>#REF!</v>
      </c>
      <c r="S60" s="46" t="e">
        <f>IF(AND(C60&gt;0,(SUM(#REF!)&gt;0),#REF!&gt;0),1/0,#REF!)</f>
        <v>#REF!</v>
      </c>
      <c r="T60" s="38" t="e">
        <f>J60*O60*S60</f>
        <v>#REF!</v>
      </c>
      <c r="U60" s="38" t="e">
        <f>((((P60-(AM60*P60))*AO60)+(AN60*(AM60*P60)))/AK60)*(8/200)</f>
        <v>#REF!</v>
      </c>
      <c r="V60" s="38" t="e">
        <f>U60*O60*S60</f>
        <v>#REF!</v>
      </c>
      <c r="W60" s="38">
        <v>0.11</v>
      </c>
      <c r="X60" s="48">
        <v>1.8</v>
      </c>
      <c r="Y60" s="49" t="e">
        <f>(C60*W60*(((E60*D60)/1000)^X60)/(E60*D60))*O60*S60</f>
        <v>#REF!</v>
      </c>
      <c r="Z60" s="50" t="e">
        <f>IF(Q60=4,0.003,0.007)</f>
        <v>#REF!</v>
      </c>
      <c r="AA60" s="48">
        <v>2</v>
      </c>
      <c r="AB60" s="49" t="e">
        <f>((P60*Z60*(((AL60*AK60)/1000)^AA60)/(AL60*AK60))*O60*S60)*(8/200)</f>
        <v>#REF!</v>
      </c>
      <c r="AC60" s="46" t="e">
        <f>(0.044*R60)+(IF(#REF!=1,(0.044*#REF!),0)*(8/200))</f>
        <v>#REF!</v>
      </c>
      <c r="AD60" s="38" t="e">
        <f>AC60*O60*$AF$11*S60</f>
        <v>#REF!</v>
      </c>
      <c r="AE60" s="38" t="e">
        <f>AD60*0.1</f>
        <v>#REF!</v>
      </c>
      <c r="AF60" s="38" t="e">
        <f>SUM(AD60:AE60)</f>
        <v>#REF!</v>
      </c>
      <c r="AG60" s="38" t="e">
        <f>1.11+IF(#REF!=1,1.11,(1.11*(8/200)))</f>
        <v>#REF!</v>
      </c>
      <c r="AH60" s="47" t="e">
        <f>O60*S60*AG60</f>
        <v>#REF!</v>
      </c>
      <c r="AI60" s="38" t="e">
        <f>AH60*$AH$11</f>
        <v>#REF!</v>
      </c>
      <c r="AJ60" s="2"/>
      <c r="AK60" s="33" t="e">
        <f>#REF!</f>
        <v>#REF!</v>
      </c>
      <c r="AL60" s="17" t="e">
        <f>#REF!</f>
        <v>#REF!</v>
      </c>
      <c r="AM60" s="35" t="e">
        <f>#REF!</f>
        <v>#REF!</v>
      </c>
      <c r="AN60" s="36" t="e">
        <f>$I$8</f>
        <v>#REF!</v>
      </c>
      <c r="AO60" s="37" t="e">
        <f t="shared" si="33"/>
        <v>#REF!</v>
      </c>
      <c r="AP60" s="2"/>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5"/>
      <c r="DA60" s="5"/>
      <c r="DB60" s="5"/>
      <c r="DC60" s="5"/>
      <c r="DD60" s="5"/>
      <c r="DE60" s="5"/>
      <c r="DF60" s="5"/>
      <c r="DG60" s="5"/>
    </row>
    <row r="61" spans="1:111" ht="15" x14ac:dyDescent="0.25">
      <c r="A61" s="17" t="e">
        <f>#REF!</f>
        <v>#REF!</v>
      </c>
      <c r="B61" s="17" t="s">
        <v>69</v>
      </c>
      <c r="C61" s="33" t="e">
        <f>#REF!</f>
        <v>#REF!</v>
      </c>
      <c r="D61" s="17" t="e">
        <f>#REF!</f>
        <v>#REF!</v>
      </c>
      <c r="E61" s="34" t="e">
        <f>#REF!</f>
        <v>#REF!</v>
      </c>
      <c r="F61" s="35" t="e">
        <f>#REF!</f>
        <v>#REF!</v>
      </c>
      <c r="G61" s="36" t="e">
        <f t="shared" si="23"/>
        <v>#REF!</v>
      </c>
      <c r="H61" s="37" t="e">
        <f t="shared" si="24"/>
        <v>#REF!</v>
      </c>
      <c r="I61" s="33" t="e">
        <f t="shared" si="25"/>
        <v>#REF!</v>
      </c>
      <c r="J61" s="38" t="e">
        <f t="shared" si="26"/>
        <v>#REF!</v>
      </c>
      <c r="K61" s="46" t="e">
        <f>#REF!</f>
        <v>#REF!</v>
      </c>
      <c r="L61" s="46" t="e">
        <f>#REF!</f>
        <v>#REF!</v>
      </c>
      <c r="M61" s="35" t="e">
        <f>#REF!</f>
        <v>#REF!</v>
      </c>
      <c r="N61" s="38" t="e">
        <f t="shared" si="27"/>
        <v>#REF!</v>
      </c>
      <c r="O61" s="47" t="e">
        <f t="shared" si="28"/>
        <v>#REF!</v>
      </c>
      <c r="P61" s="33">
        <v>400000</v>
      </c>
      <c r="Q61" s="2"/>
      <c r="R61" s="33" t="e">
        <f>#REF!</f>
        <v>#REF!</v>
      </c>
      <c r="S61" s="46" t="e">
        <f>#REF!</f>
        <v>#REF!</v>
      </c>
      <c r="T61" s="38" t="e">
        <f t="shared" si="29"/>
        <v>#REF!</v>
      </c>
      <c r="U61" s="38"/>
      <c r="V61" s="38"/>
      <c r="W61" s="38">
        <v>0.04</v>
      </c>
      <c r="X61" s="48">
        <v>2.1</v>
      </c>
      <c r="Y61" s="49" t="e">
        <f t="shared" si="30"/>
        <v>#REF!</v>
      </c>
      <c r="Z61" s="50"/>
      <c r="AA61" s="48"/>
      <c r="AB61" s="49"/>
      <c r="AC61" s="46" t="e">
        <f>0.044*R61</f>
        <v>#REF!</v>
      </c>
      <c r="AD61" s="38" t="e">
        <f>AC61*O61*$AF$11*S61</f>
        <v>#REF!</v>
      </c>
      <c r="AE61" s="38" t="e">
        <f>AD61*0.1</f>
        <v>#REF!</v>
      </c>
      <c r="AF61" s="38" t="e">
        <f>SUM(AD61:AE61)</f>
        <v>#REF!</v>
      </c>
      <c r="AG61" s="38">
        <v>1.1100000000000001</v>
      </c>
      <c r="AH61" s="47" t="e">
        <f t="shared" si="31"/>
        <v>#REF!</v>
      </c>
      <c r="AI61" s="38" t="e">
        <f t="shared" si="32"/>
        <v>#REF!</v>
      </c>
      <c r="AJ61" s="2"/>
      <c r="AK61" s="33"/>
      <c r="AL61" s="17"/>
      <c r="AM61" s="35"/>
      <c r="AN61" s="36"/>
      <c r="AO61" s="37"/>
      <c r="AP61" s="2"/>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5"/>
      <c r="DA61" s="5"/>
      <c r="DB61" s="5"/>
      <c r="DC61" s="5"/>
      <c r="DD61" s="5"/>
      <c r="DE61" s="5"/>
      <c r="DF61" s="5"/>
      <c r="DG61" s="5"/>
    </row>
    <row r="62" spans="1:111" ht="15" x14ac:dyDescent="0.25">
      <c r="A62" s="17" t="e">
        <f>#REF!</f>
        <v>#REF!</v>
      </c>
      <c r="B62" s="17" t="s">
        <v>70</v>
      </c>
      <c r="C62" s="33" t="e">
        <f>#REF!</f>
        <v>#REF!</v>
      </c>
      <c r="D62" s="17" t="e">
        <f>#REF!</f>
        <v>#REF!</v>
      </c>
      <c r="E62" s="34" t="e">
        <f>#REF!</f>
        <v>#REF!</v>
      </c>
      <c r="F62" s="35" t="e">
        <f>#REF!</f>
        <v>#REF!</v>
      </c>
      <c r="G62" s="36" t="e">
        <f t="shared" si="23"/>
        <v>#REF!</v>
      </c>
      <c r="H62" s="37" t="e">
        <f t="shared" si="24"/>
        <v>#REF!</v>
      </c>
      <c r="I62" s="33" t="e">
        <f t="shared" si="25"/>
        <v>#REF!</v>
      </c>
      <c r="J62" s="38" t="e">
        <f t="shared" si="26"/>
        <v>#REF!</v>
      </c>
      <c r="K62" s="46" t="e">
        <f>#REF!</f>
        <v>#REF!</v>
      </c>
      <c r="L62" s="46" t="e">
        <f>#REF!</f>
        <v>#REF!</v>
      </c>
      <c r="M62" s="35" t="e">
        <f>#REF!</f>
        <v>#REF!</v>
      </c>
      <c r="N62" s="38" t="e">
        <f t="shared" si="27"/>
        <v>#REF!</v>
      </c>
      <c r="O62" s="47" t="e">
        <f t="shared" si="28"/>
        <v>#REF!</v>
      </c>
      <c r="P62" s="33">
        <v>400000</v>
      </c>
      <c r="Q62" s="2"/>
      <c r="R62" s="33" t="e">
        <f>#REF!</f>
        <v>#REF!</v>
      </c>
      <c r="S62" s="46" t="e">
        <f>#REF!</f>
        <v>#REF!</v>
      </c>
      <c r="T62" s="38" t="e">
        <f t="shared" si="29"/>
        <v>#REF!</v>
      </c>
      <c r="U62" s="38"/>
      <c r="V62" s="38"/>
      <c r="W62" s="38">
        <v>0.12</v>
      </c>
      <c r="X62" s="48">
        <v>2.2999999999999998</v>
      </c>
      <c r="Y62" s="49" t="e">
        <f t="shared" si="30"/>
        <v>#REF!</v>
      </c>
      <c r="Z62" s="50"/>
      <c r="AA62" s="48"/>
      <c r="AB62" s="49"/>
      <c r="AC62" s="46"/>
      <c r="AD62" s="38"/>
      <c r="AE62" s="38"/>
      <c r="AF62" s="38"/>
      <c r="AG62" s="17"/>
      <c r="AH62" s="47" t="e">
        <f t="shared" si="31"/>
        <v>#REF!</v>
      </c>
      <c r="AI62" s="38" t="e">
        <f t="shared" si="32"/>
        <v>#REF!</v>
      </c>
      <c r="AJ62" s="2"/>
      <c r="AK62" s="33"/>
      <c r="AL62" s="17"/>
      <c r="AM62" s="35"/>
      <c r="AN62" s="36"/>
      <c r="AO62" s="37"/>
      <c r="AP62" s="2"/>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5"/>
      <c r="DA62" s="5"/>
      <c r="DB62" s="5"/>
      <c r="DC62" s="5"/>
      <c r="DD62" s="5"/>
      <c r="DE62" s="5"/>
      <c r="DF62" s="5"/>
      <c r="DG62" s="5"/>
    </row>
    <row r="63" spans="1:111" ht="15" x14ac:dyDescent="0.25">
      <c r="A63" s="17" t="e">
        <f>#REF!</f>
        <v>#REF!</v>
      </c>
      <c r="B63" s="17" t="s">
        <v>71</v>
      </c>
      <c r="C63" s="33" t="e">
        <f>#REF!</f>
        <v>#REF!</v>
      </c>
      <c r="D63" s="17" t="e">
        <f>#REF!</f>
        <v>#REF!</v>
      </c>
      <c r="E63" s="34" t="e">
        <f>#REF!</f>
        <v>#REF!</v>
      </c>
      <c r="F63" s="35" t="e">
        <f>#REF!</f>
        <v>#REF!</v>
      </c>
      <c r="G63" s="36" t="e">
        <f t="shared" si="23"/>
        <v>#REF!</v>
      </c>
      <c r="H63" s="37" t="e">
        <f t="shared" si="24"/>
        <v>#REF!</v>
      </c>
      <c r="I63" s="33" t="e">
        <f t="shared" si="25"/>
        <v>#REF!</v>
      </c>
      <c r="J63" s="38" t="e">
        <f t="shared" si="26"/>
        <v>#REF!</v>
      </c>
      <c r="K63" s="46" t="e">
        <f>#REF!</f>
        <v>#REF!</v>
      </c>
      <c r="L63" s="46" t="e">
        <f>#REF!</f>
        <v>#REF!</v>
      </c>
      <c r="M63" s="35" t="e">
        <f>#REF!</f>
        <v>#REF!</v>
      </c>
      <c r="N63" s="38" t="e">
        <f t="shared" si="27"/>
        <v>#REF!</v>
      </c>
      <c r="O63" s="47" t="e">
        <f t="shared" si="28"/>
        <v>#REF!</v>
      </c>
      <c r="P63" s="33">
        <v>400000</v>
      </c>
      <c r="Q63" s="2"/>
      <c r="R63" s="33" t="e">
        <f>#REF!</f>
        <v>#REF!</v>
      </c>
      <c r="S63" s="46" t="e">
        <f>#REF!</f>
        <v>#REF!</v>
      </c>
      <c r="T63" s="38" t="e">
        <f t="shared" si="29"/>
        <v>#REF!</v>
      </c>
      <c r="U63" s="38"/>
      <c r="V63" s="38"/>
      <c r="W63" s="38">
        <v>0.12</v>
      </c>
      <c r="X63" s="48">
        <v>2.2999999999999998</v>
      </c>
      <c r="Y63" s="49" t="e">
        <f t="shared" si="30"/>
        <v>#REF!</v>
      </c>
      <c r="Z63" s="50"/>
      <c r="AA63" s="48"/>
      <c r="AB63" s="49"/>
      <c r="AC63" s="46"/>
      <c r="AD63" s="38"/>
      <c r="AE63" s="38"/>
      <c r="AF63" s="38"/>
      <c r="AG63" s="17"/>
      <c r="AH63" s="47" t="e">
        <f t="shared" si="31"/>
        <v>#REF!</v>
      </c>
      <c r="AI63" s="38" t="e">
        <f t="shared" si="32"/>
        <v>#REF!</v>
      </c>
      <c r="AJ63" s="2"/>
      <c r="AK63" s="33"/>
      <c r="AL63" s="17"/>
      <c r="AM63" s="35"/>
      <c r="AN63" s="36"/>
      <c r="AO63" s="37"/>
      <c r="AP63" s="2"/>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5"/>
      <c r="DA63" s="5"/>
      <c r="DB63" s="5"/>
      <c r="DC63" s="5"/>
      <c r="DD63" s="5"/>
      <c r="DE63" s="5"/>
      <c r="DF63" s="5"/>
      <c r="DG63" s="5"/>
    </row>
    <row r="64" spans="1:111" ht="15" x14ac:dyDescent="0.25">
      <c r="A64" s="17" t="e">
        <f>#REF!</f>
        <v>#REF!</v>
      </c>
      <c r="B64" s="17" t="s">
        <v>72</v>
      </c>
      <c r="C64" s="33" t="e">
        <f>#REF!</f>
        <v>#REF!</v>
      </c>
      <c r="D64" s="17" t="e">
        <f>#REF!</f>
        <v>#REF!</v>
      </c>
      <c r="E64" s="34" t="e">
        <f>#REF!</f>
        <v>#REF!</v>
      </c>
      <c r="F64" s="35" t="e">
        <f>#REF!</f>
        <v>#REF!</v>
      </c>
      <c r="G64" s="36" t="e">
        <f t="shared" si="23"/>
        <v>#REF!</v>
      </c>
      <c r="H64" s="37" t="e">
        <f t="shared" si="24"/>
        <v>#REF!</v>
      </c>
      <c r="I64" s="33" t="e">
        <f t="shared" si="25"/>
        <v>#REF!</v>
      </c>
      <c r="J64" s="38" t="e">
        <f t="shared" si="26"/>
        <v>#REF!</v>
      </c>
      <c r="K64" s="46" t="e">
        <f>#REF!</f>
        <v>#REF!</v>
      </c>
      <c r="L64" s="46" t="e">
        <f>#REF!</f>
        <v>#REF!</v>
      </c>
      <c r="M64" s="35" t="e">
        <f>#REF!</f>
        <v>#REF!</v>
      </c>
      <c r="N64" s="38" t="e">
        <f t="shared" si="27"/>
        <v>#REF!</v>
      </c>
      <c r="O64" s="47" t="e">
        <f t="shared" si="28"/>
        <v>#REF!</v>
      </c>
      <c r="P64" s="33">
        <v>400000</v>
      </c>
      <c r="Q64" s="2"/>
      <c r="R64" s="33" t="e">
        <f>#REF!</f>
        <v>#REF!</v>
      </c>
      <c r="S64" s="46" t="e">
        <f>#REF!</f>
        <v>#REF!</v>
      </c>
      <c r="T64" s="38" t="e">
        <f t="shared" si="29"/>
        <v>#REF!</v>
      </c>
      <c r="U64" s="38"/>
      <c r="V64" s="38"/>
      <c r="W64" s="38">
        <v>0.12</v>
      </c>
      <c r="X64" s="48">
        <v>2.2999999999999998</v>
      </c>
      <c r="Y64" s="49" t="e">
        <f t="shared" si="30"/>
        <v>#REF!</v>
      </c>
      <c r="Z64" s="50"/>
      <c r="AA64" s="48"/>
      <c r="AB64" s="49"/>
      <c r="AC64" s="46"/>
      <c r="AD64" s="38"/>
      <c r="AE64" s="38"/>
      <c r="AF64" s="38"/>
      <c r="AG64" s="17"/>
      <c r="AH64" s="47" t="e">
        <f t="shared" si="31"/>
        <v>#REF!</v>
      </c>
      <c r="AI64" s="38" t="e">
        <f t="shared" si="32"/>
        <v>#REF!</v>
      </c>
      <c r="AJ64" s="2"/>
      <c r="AK64" s="33"/>
      <c r="AL64" s="17"/>
      <c r="AM64" s="35"/>
      <c r="AN64" s="36"/>
      <c r="AO64" s="37"/>
      <c r="AP64" s="2"/>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5"/>
      <c r="DA64" s="5"/>
      <c r="DB64" s="5"/>
      <c r="DC64" s="5"/>
      <c r="DD64" s="5"/>
      <c r="DE64" s="5"/>
      <c r="DF64" s="5"/>
      <c r="DG64" s="5"/>
    </row>
    <row r="65" spans="1:111" ht="15" x14ac:dyDescent="0.25">
      <c r="A65" s="17" t="e">
        <f>#REF!</f>
        <v>#REF!</v>
      </c>
      <c r="B65" s="17" t="s">
        <v>93</v>
      </c>
      <c r="C65" s="33" t="e">
        <f>#REF!</f>
        <v>#REF!</v>
      </c>
      <c r="D65" s="17" t="e">
        <f>#REF!</f>
        <v>#REF!</v>
      </c>
      <c r="E65" s="34" t="e">
        <f>#REF!</f>
        <v>#REF!</v>
      </c>
      <c r="F65" s="35" t="e">
        <f>#REF!</f>
        <v>#REF!</v>
      </c>
      <c r="G65" s="36" t="e">
        <f t="shared" si="23"/>
        <v>#REF!</v>
      </c>
      <c r="H65" s="37" t="e">
        <f t="shared" si="24"/>
        <v>#REF!</v>
      </c>
      <c r="I65" s="33" t="e">
        <f t="shared" si="25"/>
        <v>#REF!</v>
      </c>
      <c r="J65" s="38" t="e">
        <f t="shared" si="26"/>
        <v>#REF!</v>
      </c>
      <c r="K65" s="46" t="e">
        <f>#REF!</f>
        <v>#REF!</v>
      </c>
      <c r="L65" s="46" t="e">
        <f>#REF!</f>
        <v>#REF!</v>
      </c>
      <c r="M65" s="35" t="e">
        <f>#REF!</f>
        <v>#REF!</v>
      </c>
      <c r="N65" s="38" t="e">
        <f t="shared" si="27"/>
        <v>#REF!</v>
      </c>
      <c r="O65" s="47" t="e">
        <f t="shared" si="28"/>
        <v>#REF!</v>
      </c>
      <c r="P65" s="33">
        <v>400000</v>
      </c>
      <c r="Q65" s="2"/>
      <c r="R65" s="33" t="e">
        <f>#REF!</f>
        <v>#REF!</v>
      </c>
      <c r="S65" s="46" t="e">
        <f>#REF!</f>
        <v>#REF!</v>
      </c>
      <c r="T65" s="38" t="e">
        <f t="shared" si="29"/>
        <v>#REF!</v>
      </c>
      <c r="U65" s="38"/>
      <c r="V65" s="38"/>
      <c r="W65" s="38">
        <v>0.12</v>
      </c>
      <c r="X65" s="48">
        <v>2.2999999999999998</v>
      </c>
      <c r="Y65" s="49" t="e">
        <f t="shared" si="30"/>
        <v>#REF!</v>
      </c>
      <c r="Z65" s="50"/>
      <c r="AA65" s="48"/>
      <c r="AB65" s="49"/>
      <c r="AC65" s="46"/>
      <c r="AD65" s="38"/>
      <c r="AE65" s="38"/>
      <c r="AF65" s="38"/>
      <c r="AG65" s="17"/>
      <c r="AH65" s="47" t="e">
        <f t="shared" si="31"/>
        <v>#REF!</v>
      </c>
      <c r="AI65" s="38" t="e">
        <f t="shared" si="32"/>
        <v>#REF!</v>
      </c>
      <c r="AJ65" s="2"/>
      <c r="AK65" s="33"/>
      <c r="AL65" s="17"/>
      <c r="AM65" s="35"/>
      <c r="AN65" s="36"/>
      <c r="AO65" s="37"/>
      <c r="AP65" s="2"/>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5"/>
      <c r="DA65" s="5"/>
      <c r="DB65" s="5"/>
      <c r="DC65" s="5"/>
      <c r="DD65" s="5"/>
      <c r="DE65" s="5"/>
      <c r="DF65" s="5"/>
      <c r="DG65" s="5"/>
    </row>
    <row r="66" spans="1:111" ht="15" x14ac:dyDescent="0.25">
      <c r="A66" s="17" t="e">
        <f>#REF!</f>
        <v>#REF!</v>
      </c>
      <c r="B66" s="17" t="s">
        <v>73</v>
      </c>
      <c r="C66" s="33" t="e">
        <f>#REF!</f>
        <v>#REF!</v>
      </c>
      <c r="D66" s="17" t="e">
        <f>#REF!</f>
        <v>#REF!</v>
      </c>
      <c r="E66" s="34" t="e">
        <f>#REF!</f>
        <v>#REF!</v>
      </c>
      <c r="F66" s="35" t="e">
        <f>#REF!</f>
        <v>#REF!</v>
      </c>
      <c r="G66" s="36" t="e">
        <f t="shared" si="23"/>
        <v>#REF!</v>
      </c>
      <c r="H66" s="37" t="e">
        <f t="shared" si="24"/>
        <v>#REF!</v>
      </c>
      <c r="I66" s="33" t="e">
        <f t="shared" si="25"/>
        <v>#REF!</v>
      </c>
      <c r="J66" s="38" t="e">
        <f t="shared" si="26"/>
        <v>#REF!</v>
      </c>
      <c r="K66" s="46" t="e">
        <f>#REF!</f>
        <v>#REF!</v>
      </c>
      <c r="L66" s="46" t="e">
        <f>#REF!</f>
        <v>#REF!</v>
      </c>
      <c r="M66" s="35" t="e">
        <f>#REF!</f>
        <v>#REF!</v>
      </c>
      <c r="N66" s="38" t="e">
        <f t="shared" si="27"/>
        <v>#REF!</v>
      </c>
      <c r="O66" s="47" t="e">
        <f t="shared" si="28"/>
        <v>#REF!</v>
      </c>
      <c r="P66" s="33" t="e">
        <f>#REF!</f>
        <v>#REF!</v>
      </c>
      <c r="Q66" s="17" t="e">
        <f>#REF!</f>
        <v>#REF!</v>
      </c>
      <c r="R66" s="33" t="e">
        <f>#REF!</f>
        <v>#REF!</v>
      </c>
      <c r="S66" s="46" t="e">
        <f>#REF!</f>
        <v>#REF!</v>
      </c>
      <c r="T66" s="38" t="e">
        <f t="shared" si="29"/>
        <v>#REF!</v>
      </c>
      <c r="U66" s="38" t="e">
        <f>(((P66-(AM66*P66))*AO66)+(AN66*(AM66*P66)))/AK66</f>
        <v>#REF!</v>
      </c>
      <c r="V66" s="38" t="e">
        <f>U66*O66*S66</f>
        <v>#REF!</v>
      </c>
      <c r="W66" s="38">
        <v>0.19</v>
      </c>
      <c r="X66" s="48">
        <v>1.3</v>
      </c>
      <c r="Y66" s="49" t="e">
        <f t="shared" si="30"/>
        <v>#REF!</v>
      </c>
      <c r="Z66" s="50" t="e">
        <f>IF(Q66=4,0.003,0.007)</f>
        <v>#REF!</v>
      </c>
      <c r="AA66" s="48">
        <v>2</v>
      </c>
      <c r="AB66" s="49" t="e">
        <f>(P66*Z66*(((AL66*AK66)/1000)^AA66)/(AL66*AK66))*O66*S66</f>
        <v>#REF!</v>
      </c>
      <c r="AC66" s="46" t="e">
        <f>0.044*R66</f>
        <v>#REF!</v>
      </c>
      <c r="AD66" s="38" t="e">
        <f>AC66*O66*$AE$11*S66</f>
        <v>#REF!</v>
      </c>
      <c r="AE66" s="38" t="e">
        <f>AD66*0.1</f>
        <v>#REF!</v>
      </c>
      <c r="AF66" s="38" t="e">
        <f>SUM(AD66:AE66)</f>
        <v>#REF!</v>
      </c>
      <c r="AG66" s="17">
        <v>1.1100000000000001</v>
      </c>
      <c r="AH66" s="47" t="e">
        <f t="shared" si="31"/>
        <v>#REF!</v>
      </c>
      <c r="AI66" s="38" t="e">
        <f t="shared" si="32"/>
        <v>#REF!</v>
      </c>
      <c r="AJ66" s="2"/>
      <c r="AK66" s="33" t="e">
        <f>#REF!</f>
        <v>#REF!</v>
      </c>
      <c r="AL66" s="17" t="e">
        <f>#REF!</f>
        <v>#REF!</v>
      </c>
      <c r="AM66" s="35" t="e">
        <f>#REF!</f>
        <v>#REF!</v>
      </c>
      <c r="AN66" s="36" t="e">
        <f>$I$8</f>
        <v>#REF!</v>
      </c>
      <c r="AO66" s="37" t="e">
        <f t="shared" si="33"/>
        <v>#REF!</v>
      </c>
      <c r="AP66" s="2"/>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5"/>
      <c r="DA66" s="5"/>
      <c r="DB66" s="5"/>
      <c r="DC66" s="5"/>
      <c r="DD66" s="5"/>
      <c r="DE66" s="5"/>
      <c r="DF66" s="5"/>
      <c r="DG66" s="5"/>
    </row>
    <row r="67" spans="1:111" x14ac:dyDescent="0.2">
      <c r="A67" s="2"/>
      <c r="B67" s="2"/>
      <c r="C67" s="2"/>
      <c r="D67" s="2"/>
      <c r="E67" s="2"/>
      <c r="F67" s="2"/>
      <c r="G67" s="2"/>
      <c r="H67" s="2"/>
      <c r="I67" s="2"/>
      <c r="J67" s="2"/>
      <c r="K67" s="13"/>
      <c r="L67" s="13"/>
      <c r="M67" s="51"/>
      <c r="N67" s="51"/>
      <c r="O67" s="51"/>
      <c r="P67" s="51"/>
      <c r="Q67" s="51"/>
      <c r="R67" s="51"/>
      <c r="S67" s="51"/>
      <c r="T67" s="51"/>
      <c r="U67" s="51"/>
      <c r="V67" s="51"/>
      <c r="W67" s="51"/>
      <c r="X67" s="51"/>
      <c r="Y67" s="55"/>
      <c r="Z67" s="55"/>
      <c r="AA67" s="13"/>
      <c r="AB67" s="13"/>
      <c r="AC67" s="13"/>
      <c r="AD67" s="13"/>
      <c r="AE67" s="13"/>
      <c r="AF67" s="13"/>
      <c r="AG67" s="13"/>
      <c r="AH67" s="56"/>
      <c r="AI67" s="13"/>
      <c r="AJ67" s="2"/>
      <c r="AK67" s="2"/>
      <c r="AL67" s="2"/>
      <c r="AM67" s="2"/>
      <c r="AN67" s="2"/>
      <c r="AO67" s="2"/>
      <c r="AP67" s="2"/>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5"/>
      <c r="DA67" s="5"/>
      <c r="DB67" s="5"/>
      <c r="DC67" s="5"/>
      <c r="DD67" s="5"/>
      <c r="DE67" s="5"/>
      <c r="DF67" s="5"/>
      <c r="DG67" s="5"/>
    </row>
    <row r="68" spans="1:111" ht="14.25" x14ac:dyDescent="0.2">
      <c r="A68" s="41" t="s">
        <v>196</v>
      </c>
      <c r="B68" s="52"/>
      <c r="C68" s="52"/>
      <c r="D68" s="52"/>
      <c r="E68" s="52"/>
      <c r="F68" s="52"/>
      <c r="G68" s="52"/>
      <c r="H68" s="52"/>
      <c r="I68" s="52"/>
      <c r="J68" s="52"/>
      <c r="K68" s="51"/>
      <c r="L68" s="51"/>
      <c r="M68" s="51"/>
      <c r="N68" s="51"/>
      <c r="O68" s="51"/>
      <c r="P68" s="51"/>
      <c r="Q68" s="51"/>
      <c r="R68" s="51"/>
      <c r="S68" s="51"/>
      <c r="T68" s="21" t="e">
        <f>SUM(T57:T66)</f>
        <v>#REF!</v>
      </c>
      <c r="U68" s="51"/>
      <c r="V68" s="21" t="e">
        <f>SUM(V57:V66)</f>
        <v>#REF!</v>
      </c>
      <c r="W68" s="51"/>
      <c r="X68" s="51"/>
      <c r="Y68" s="21" t="e">
        <f>SUM(Y57:Y66)</f>
        <v>#REF!</v>
      </c>
      <c r="Z68" s="53"/>
      <c r="AA68" s="51"/>
      <c r="AB68" s="21" t="e">
        <f>SUM(AB57:AB66)</f>
        <v>#REF!</v>
      </c>
      <c r="AC68" s="51"/>
      <c r="AD68" s="21" t="e">
        <f>SUM(AD57:AD66)</f>
        <v>#REF!</v>
      </c>
      <c r="AE68" s="21" t="e">
        <f>SUM(AE57:AE66)</f>
        <v>#REF!</v>
      </c>
      <c r="AF68" s="21"/>
      <c r="AG68" s="51"/>
      <c r="AH68" s="54" t="e">
        <f>SUM(AH57:AH66)</f>
        <v>#REF!</v>
      </c>
      <c r="AI68" s="21" t="e">
        <f>SUM(AI57:AI66)</f>
        <v>#REF!</v>
      </c>
      <c r="AJ68" s="2"/>
      <c r="AK68" s="51"/>
      <c r="AL68" s="51"/>
      <c r="AM68" s="51"/>
      <c r="AN68" s="51"/>
      <c r="AO68" s="51"/>
      <c r="AP68" s="2"/>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5"/>
      <c r="DA68" s="5"/>
      <c r="DB68" s="5"/>
      <c r="DC68" s="5"/>
      <c r="DD68" s="5"/>
      <c r="DE68" s="5"/>
      <c r="DF68" s="5"/>
      <c r="DG68" s="5"/>
    </row>
    <row r="69" spans="1:11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5"/>
      <c r="DA69" s="5"/>
      <c r="DB69" s="5"/>
      <c r="DC69" s="5"/>
      <c r="DD69" s="5"/>
      <c r="DE69" s="5"/>
      <c r="DF69" s="5"/>
      <c r="DG69" s="5"/>
    </row>
    <row r="70" spans="1:11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5"/>
      <c r="DA70" s="5"/>
      <c r="DB70" s="5"/>
      <c r="DC70" s="5"/>
      <c r="DD70" s="5"/>
      <c r="DE70" s="5"/>
      <c r="DF70" s="5"/>
      <c r="DG70" s="5"/>
    </row>
    <row r="71" spans="1:111" x14ac:dyDescent="0.2">
      <c r="A71" s="2"/>
      <c r="B71" s="2"/>
      <c r="C71" s="2"/>
      <c r="D71" s="2"/>
      <c r="E71" s="2"/>
      <c r="F71" s="2"/>
      <c r="G71" s="2"/>
      <c r="H71" s="2"/>
      <c r="I71" s="2"/>
      <c r="J71" s="2"/>
      <c r="K71" s="2"/>
      <c r="L71" s="2"/>
      <c r="M71" s="2"/>
      <c r="N71" s="2"/>
      <c r="O71" s="2"/>
      <c r="P71" s="2"/>
      <c r="Q71" s="2"/>
      <c r="R71" s="57"/>
      <c r="S71" s="2"/>
      <c r="T71" s="2"/>
      <c r="U71" s="2"/>
      <c r="V71" s="2"/>
      <c r="W71" s="2"/>
      <c r="X71" s="2"/>
      <c r="Y71" s="2"/>
      <c r="Z71" s="2"/>
      <c r="AA71" s="2"/>
      <c r="AB71" s="2"/>
      <c r="AC71" s="2"/>
      <c r="AD71" s="2"/>
      <c r="AE71" s="2"/>
      <c r="AF71" s="2"/>
      <c r="AG71" s="2"/>
      <c r="AH71" s="2"/>
      <c r="AI71" s="2"/>
      <c r="AJ71" s="2"/>
      <c r="AK71" s="2"/>
      <c r="AL71" s="2"/>
      <c r="AM71" s="2"/>
      <c r="AN71" s="2"/>
      <c r="AO71" s="2"/>
      <c r="AP71" s="2"/>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5"/>
      <c r="DA71" s="5"/>
      <c r="DB71" s="5"/>
      <c r="DC71" s="5"/>
      <c r="DD71" s="5"/>
      <c r="DE71" s="5"/>
      <c r="DF71" s="5"/>
      <c r="DG71" s="5"/>
    </row>
    <row r="72" spans="1:11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5"/>
      <c r="DA72" s="5"/>
      <c r="DB72" s="5"/>
      <c r="DC72" s="5"/>
      <c r="DD72" s="5"/>
      <c r="DE72" s="5"/>
      <c r="DF72" s="5"/>
      <c r="DG72" s="5"/>
    </row>
    <row r="73" spans="1:11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5"/>
      <c r="DA73" s="5"/>
      <c r="DB73" s="5"/>
      <c r="DC73" s="5"/>
      <c r="DD73" s="5"/>
      <c r="DE73" s="5"/>
      <c r="DF73" s="5"/>
      <c r="DG73" s="5"/>
    </row>
    <row r="74" spans="1:11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5"/>
      <c r="DA74" s="5"/>
      <c r="DB74" s="5"/>
      <c r="DC74" s="5"/>
      <c r="DD74" s="5"/>
      <c r="DE74" s="5"/>
      <c r="DF74" s="5"/>
      <c r="DG74" s="5"/>
    </row>
    <row r="75" spans="1:11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5"/>
      <c r="DA75" s="5"/>
      <c r="DB75" s="5"/>
      <c r="DC75" s="5"/>
      <c r="DD75" s="5"/>
      <c r="DE75" s="5"/>
      <c r="DF75" s="5"/>
      <c r="DG75" s="5"/>
    </row>
    <row r="76" spans="1:11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5"/>
      <c r="DA76" s="5"/>
      <c r="DB76" s="5"/>
      <c r="DC76" s="5"/>
      <c r="DD76" s="5"/>
      <c r="DE76" s="5"/>
      <c r="DF76" s="5"/>
      <c r="DG76" s="5"/>
    </row>
    <row r="77" spans="1:11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5"/>
      <c r="DA77" s="5"/>
      <c r="DB77" s="5"/>
      <c r="DC77" s="5"/>
      <c r="DD77" s="5"/>
      <c r="DE77" s="5"/>
      <c r="DF77" s="5"/>
      <c r="DG77" s="5"/>
    </row>
    <row r="78" spans="1:111" x14ac:dyDescent="0.2">
      <c r="A78" s="4"/>
      <c r="B78" s="4"/>
      <c r="C78" s="4"/>
      <c r="D78" s="4"/>
      <c r="E78" s="4"/>
      <c r="F78" s="4"/>
      <c r="G78" s="4"/>
      <c r="H78" s="4"/>
      <c r="I78" s="4"/>
      <c r="J78" s="4"/>
      <c r="K78" s="4"/>
      <c r="L78" s="4"/>
      <c r="M78" s="4"/>
      <c r="N78" s="4"/>
      <c r="O78" s="4"/>
      <c r="P78" s="4"/>
      <c r="Q78" s="4"/>
      <c r="R78" s="4"/>
      <c r="S78" s="4"/>
      <c r="T78" s="4"/>
      <c r="U78" s="4"/>
      <c r="V78" s="4"/>
      <c r="W78" s="4"/>
      <c r="X78" s="4"/>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5"/>
      <c r="DA78" s="5"/>
      <c r="DB78" s="5"/>
      <c r="DC78" s="5"/>
      <c r="DD78" s="5"/>
      <c r="DE78" s="5"/>
      <c r="DF78" s="5"/>
      <c r="DG78" s="5"/>
    </row>
    <row r="79" spans="1:111" x14ac:dyDescent="0.2">
      <c r="A79" s="4"/>
      <c r="B79" s="4"/>
      <c r="C79" s="4"/>
      <c r="D79" s="4"/>
      <c r="E79" s="4"/>
      <c r="F79" s="4"/>
      <c r="G79" s="4"/>
      <c r="H79" s="4"/>
      <c r="I79" s="4"/>
      <c r="J79" s="4"/>
      <c r="K79" s="4"/>
      <c r="L79" s="4"/>
      <c r="M79" s="4"/>
      <c r="N79" s="4"/>
      <c r="O79" s="4"/>
      <c r="P79" s="4"/>
      <c r="Q79" s="4"/>
      <c r="R79" s="4"/>
      <c r="S79" s="4"/>
      <c r="T79" s="4"/>
      <c r="U79" s="4"/>
      <c r="V79" s="4"/>
      <c r="W79" s="4"/>
      <c r="X79" s="4"/>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5"/>
      <c r="DA79" s="5"/>
      <c r="DB79" s="5"/>
      <c r="DC79" s="5"/>
      <c r="DD79" s="5"/>
      <c r="DE79" s="5"/>
      <c r="DF79" s="5"/>
      <c r="DG79" s="5"/>
    </row>
    <row r="80" spans="1:111" x14ac:dyDescent="0.2">
      <c r="A80" s="4"/>
      <c r="B80" s="4"/>
      <c r="C80" s="4"/>
      <c r="D80" s="4"/>
      <c r="E80" s="4"/>
      <c r="F80" s="4"/>
      <c r="G80" s="4"/>
      <c r="H80" s="4"/>
      <c r="I80" s="4"/>
      <c r="J80" s="4"/>
      <c r="K80" s="4"/>
      <c r="L80" s="4"/>
      <c r="M80" s="4"/>
      <c r="N80" s="4"/>
      <c r="O80" s="4"/>
      <c r="P80" s="4"/>
      <c r="Q80" s="4"/>
      <c r="R80" s="4"/>
      <c r="S80" s="4"/>
      <c r="T80" s="4"/>
      <c r="U80" s="4"/>
      <c r="V80" s="4"/>
      <c r="W80" s="4"/>
      <c r="X80" s="4"/>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5"/>
      <c r="DA80" s="5"/>
      <c r="DB80" s="5"/>
      <c r="DC80" s="5"/>
      <c r="DD80" s="5"/>
      <c r="DE80" s="5"/>
      <c r="DF80" s="5"/>
      <c r="DG80" s="5"/>
    </row>
    <row r="81" spans="1:111" x14ac:dyDescent="0.2">
      <c r="A81" s="4"/>
      <c r="B81" s="4"/>
      <c r="C81" s="4"/>
      <c r="D81" s="4"/>
      <c r="E81" s="4"/>
      <c r="F81" s="4"/>
      <c r="G81" s="4"/>
      <c r="H81" s="4"/>
      <c r="I81" s="4"/>
      <c r="J81" s="4"/>
      <c r="K81" s="4"/>
      <c r="L81" s="4"/>
      <c r="M81" s="4"/>
      <c r="N81" s="4"/>
      <c r="O81" s="4"/>
      <c r="P81" s="4"/>
      <c r="Q81" s="4"/>
      <c r="R81" s="4"/>
      <c r="S81" s="4"/>
      <c r="T81" s="4"/>
      <c r="U81" s="4"/>
      <c r="V81" s="4"/>
      <c r="W81" s="4"/>
      <c r="X81" s="4"/>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5"/>
      <c r="DA81" s="5"/>
      <c r="DB81" s="5"/>
      <c r="DC81" s="5"/>
      <c r="DD81" s="5"/>
      <c r="DE81" s="5"/>
      <c r="DF81" s="5"/>
      <c r="DG81" s="5"/>
    </row>
    <row r="82" spans="1:11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5"/>
      <c r="DA82" s="5"/>
      <c r="DB82" s="5"/>
      <c r="DC82" s="5"/>
      <c r="DD82" s="5"/>
      <c r="DE82" s="5"/>
      <c r="DF82" s="5"/>
      <c r="DG82" s="5"/>
    </row>
    <row r="83" spans="1:11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5"/>
      <c r="DA83" s="5"/>
      <c r="DB83" s="5"/>
      <c r="DC83" s="5"/>
      <c r="DD83" s="5"/>
      <c r="DE83" s="5"/>
      <c r="DF83" s="5"/>
      <c r="DG83" s="5"/>
    </row>
    <row r="84" spans="1:11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5"/>
      <c r="DA84" s="5"/>
      <c r="DB84" s="5"/>
      <c r="DC84" s="5"/>
      <c r="DD84" s="5"/>
      <c r="DE84" s="5"/>
      <c r="DF84" s="5"/>
      <c r="DG84" s="5"/>
    </row>
    <row r="85" spans="1:11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5"/>
      <c r="DA85" s="5"/>
      <c r="DB85" s="5"/>
      <c r="DC85" s="5"/>
      <c r="DD85" s="5"/>
      <c r="DE85" s="5"/>
      <c r="DF85" s="5"/>
      <c r="DG85" s="5"/>
    </row>
    <row r="86" spans="1:11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5"/>
      <c r="DA86" s="5"/>
      <c r="DB86" s="5"/>
      <c r="DC86" s="5"/>
      <c r="DD86" s="5"/>
      <c r="DE86" s="5"/>
      <c r="DF86" s="5"/>
      <c r="DG86" s="5"/>
    </row>
    <row r="87" spans="1:11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5"/>
      <c r="DA87" s="5"/>
      <c r="DB87" s="5"/>
      <c r="DC87" s="5"/>
      <c r="DD87" s="5"/>
      <c r="DE87" s="5"/>
      <c r="DF87" s="5"/>
      <c r="DG87" s="5"/>
    </row>
    <row r="88" spans="1:11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5"/>
      <c r="DA88" s="5"/>
      <c r="DB88" s="5"/>
      <c r="DC88" s="5"/>
      <c r="DD88" s="5"/>
      <c r="DE88" s="5"/>
      <c r="DF88" s="5"/>
      <c r="DG88" s="5"/>
    </row>
    <row r="89" spans="1:11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5"/>
      <c r="DA89" s="5"/>
      <c r="DB89" s="5"/>
      <c r="DC89" s="5"/>
      <c r="DD89" s="5"/>
      <c r="DE89" s="5"/>
      <c r="DF89" s="5"/>
      <c r="DG89" s="5"/>
    </row>
    <row r="90" spans="1:11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5"/>
      <c r="DA90" s="5"/>
      <c r="DB90" s="5"/>
      <c r="DC90" s="5"/>
      <c r="DD90" s="5"/>
      <c r="DE90" s="5"/>
      <c r="DF90" s="5"/>
      <c r="DG90" s="5"/>
    </row>
    <row r="91" spans="1:11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5"/>
      <c r="DA91" s="5"/>
      <c r="DB91" s="5"/>
      <c r="DC91" s="5"/>
      <c r="DD91" s="5"/>
      <c r="DE91" s="5"/>
      <c r="DF91" s="5"/>
      <c r="DG91" s="5"/>
    </row>
    <row r="92" spans="1:11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5"/>
      <c r="DA92" s="5"/>
      <c r="DB92" s="5"/>
      <c r="DC92" s="5"/>
      <c r="DD92" s="5"/>
      <c r="DE92" s="5"/>
      <c r="DF92" s="5"/>
      <c r="DG92" s="5"/>
    </row>
    <row r="93" spans="1:11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5"/>
      <c r="DA93" s="5"/>
      <c r="DB93" s="5"/>
      <c r="DC93" s="5"/>
      <c r="DD93" s="5"/>
      <c r="DE93" s="5"/>
      <c r="DF93" s="5"/>
      <c r="DG93" s="5"/>
    </row>
    <row r="94" spans="1:11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5"/>
      <c r="DA94" s="5"/>
      <c r="DB94" s="5"/>
      <c r="DC94" s="5"/>
      <c r="DD94" s="5"/>
      <c r="DE94" s="5"/>
      <c r="DF94" s="5"/>
      <c r="DG94" s="5"/>
    </row>
    <row r="95" spans="1:11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5"/>
      <c r="DA95" s="5"/>
      <c r="DB95" s="5"/>
      <c r="DC95" s="5"/>
      <c r="DD95" s="5"/>
      <c r="DE95" s="5"/>
      <c r="DF95" s="5"/>
      <c r="DG95" s="5"/>
    </row>
    <row r="96" spans="1:11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5"/>
      <c r="DA96" s="5"/>
      <c r="DB96" s="5"/>
      <c r="DC96" s="5"/>
      <c r="DD96" s="5"/>
      <c r="DE96" s="5"/>
      <c r="DF96" s="5"/>
      <c r="DG96" s="5"/>
    </row>
    <row r="97" spans="1:11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5"/>
      <c r="DA97" s="5"/>
      <c r="DB97" s="5"/>
      <c r="DC97" s="5"/>
      <c r="DD97" s="5"/>
      <c r="DE97" s="5"/>
      <c r="DF97" s="5"/>
      <c r="DG97" s="5"/>
    </row>
    <row r="98" spans="1:11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5"/>
      <c r="DA98" s="5"/>
      <c r="DB98" s="5"/>
      <c r="DC98" s="5"/>
      <c r="DD98" s="5"/>
      <c r="DE98" s="5"/>
      <c r="DF98" s="5"/>
      <c r="DG98" s="5"/>
    </row>
    <row r="99" spans="1:11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5"/>
      <c r="DA99" s="5"/>
      <c r="DB99" s="5"/>
      <c r="DC99" s="5"/>
      <c r="DD99" s="5"/>
      <c r="DE99" s="5"/>
      <c r="DF99" s="5"/>
      <c r="DG99" s="5"/>
    </row>
    <row r="100" spans="1:11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5"/>
      <c r="DA100" s="5"/>
      <c r="DB100" s="5"/>
      <c r="DC100" s="5"/>
      <c r="DD100" s="5"/>
      <c r="DE100" s="5"/>
      <c r="DF100" s="5"/>
      <c r="DG100" s="5"/>
    </row>
    <row r="101" spans="1:11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5"/>
      <c r="DA101" s="5"/>
      <c r="DB101" s="5"/>
      <c r="DC101" s="5"/>
      <c r="DD101" s="5"/>
      <c r="DE101" s="5"/>
      <c r="DF101" s="5"/>
      <c r="DG101" s="5"/>
    </row>
    <row r="102" spans="1:11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5"/>
      <c r="DA102" s="5"/>
      <c r="DB102" s="5"/>
      <c r="DC102" s="5"/>
      <c r="DD102" s="5"/>
      <c r="DE102" s="5"/>
      <c r="DF102" s="5"/>
      <c r="DG102" s="5"/>
    </row>
    <row r="103" spans="1:11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5"/>
      <c r="DA103" s="5"/>
      <c r="DB103" s="5"/>
      <c r="DC103" s="5"/>
      <c r="DD103" s="5"/>
      <c r="DE103" s="5"/>
      <c r="DF103" s="5"/>
      <c r="DG103" s="5"/>
    </row>
    <row r="104" spans="1:11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5"/>
      <c r="DA104" s="5"/>
      <c r="DB104" s="5"/>
      <c r="DC104" s="5"/>
      <c r="DD104" s="5"/>
      <c r="DE104" s="5"/>
      <c r="DF104" s="5"/>
      <c r="DG104" s="5"/>
    </row>
    <row r="105" spans="1:11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5"/>
      <c r="DA105" s="5"/>
      <c r="DB105" s="5"/>
      <c r="DC105" s="5"/>
      <c r="DD105" s="5"/>
      <c r="DE105" s="5"/>
      <c r="DF105" s="5"/>
      <c r="DG105" s="5"/>
    </row>
    <row r="106" spans="1:11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5"/>
      <c r="DA106" s="5"/>
      <c r="DB106" s="5"/>
      <c r="DC106" s="5"/>
      <c r="DD106" s="5"/>
      <c r="DE106" s="5"/>
      <c r="DF106" s="5"/>
      <c r="DG106" s="5"/>
    </row>
    <row r="107" spans="1:11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5"/>
      <c r="DA107" s="5"/>
      <c r="DB107" s="5"/>
      <c r="DC107" s="5"/>
      <c r="DD107" s="5"/>
      <c r="DE107" s="5"/>
      <c r="DF107" s="5"/>
      <c r="DG107" s="5"/>
    </row>
    <row r="108" spans="1:11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5"/>
      <c r="DA108" s="5"/>
      <c r="DB108" s="5"/>
      <c r="DC108" s="5"/>
      <c r="DD108" s="5"/>
      <c r="DE108" s="5"/>
      <c r="DF108" s="5"/>
      <c r="DG108" s="5"/>
    </row>
    <row r="109" spans="1:11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5"/>
      <c r="DA109" s="5"/>
      <c r="DB109" s="5"/>
      <c r="DC109" s="5"/>
      <c r="DD109" s="5"/>
      <c r="DE109" s="5"/>
      <c r="DF109" s="5"/>
      <c r="DG109" s="5"/>
    </row>
    <row r="110" spans="1:11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5"/>
      <c r="DA110" s="5"/>
      <c r="DB110" s="5"/>
      <c r="DC110" s="5"/>
      <c r="DD110" s="5"/>
      <c r="DE110" s="5"/>
      <c r="DF110" s="5"/>
      <c r="DG110" s="5"/>
    </row>
    <row r="111" spans="1:11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5"/>
      <c r="DA111" s="5"/>
      <c r="DB111" s="5"/>
      <c r="DC111" s="5"/>
      <c r="DD111" s="5"/>
      <c r="DE111" s="5"/>
      <c r="DF111" s="5"/>
      <c r="DG111" s="5"/>
    </row>
    <row r="112" spans="1:11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5"/>
      <c r="DA112" s="5"/>
      <c r="DB112" s="5"/>
      <c r="DC112" s="5"/>
      <c r="DD112" s="5"/>
      <c r="DE112" s="5"/>
      <c r="DF112" s="5"/>
      <c r="DG112" s="5"/>
    </row>
    <row r="113" spans="1:11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5"/>
      <c r="DA113" s="5"/>
      <c r="DB113" s="5"/>
      <c r="DC113" s="5"/>
      <c r="DD113" s="5"/>
      <c r="DE113" s="5"/>
      <c r="DF113" s="5"/>
      <c r="DG113" s="5"/>
    </row>
    <row r="114" spans="1:11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5"/>
      <c r="DA114" s="5"/>
      <c r="DB114" s="5"/>
      <c r="DC114" s="5"/>
      <c r="DD114" s="5"/>
      <c r="DE114" s="5"/>
      <c r="DF114" s="5"/>
      <c r="DG114" s="5"/>
    </row>
    <row r="115" spans="1:11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5"/>
      <c r="DA115" s="5"/>
      <c r="DB115" s="5"/>
      <c r="DC115" s="5"/>
      <c r="DD115" s="5"/>
      <c r="DE115" s="5"/>
      <c r="DF115" s="5"/>
      <c r="DG115" s="5"/>
    </row>
    <row r="116" spans="1:11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5"/>
      <c r="DA116" s="5"/>
      <c r="DB116" s="5"/>
      <c r="DC116" s="5"/>
      <c r="DD116" s="5"/>
      <c r="DE116" s="5"/>
      <c r="DF116" s="5"/>
      <c r="DG116" s="5"/>
    </row>
    <row r="117" spans="1:11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5"/>
      <c r="DA117" s="5"/>
      <c r="DB117" s="5"/>
      <c r="DC117" s="5"/>
      <c r="DD117" s="5"/>
      <c r="DE117" s="5"/>
      <c r="DF117" s="5"/>
      <c r="DG117" s="5"/>
    </row>
    <row r="118" spans="1:11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5"/>
      <c r="DA118" s="5"/>
      <c r="DB118" s="5"/>
      <c r="DC118" s="5"/>
      <c r="DD118" s="5"/>
      <c r="DE118" s="5"/>
      <c r="DF118" s="5"/>
      <c r="DG118" s="5"/>
    </row>
    <row r="119" spans="1:11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5"/>
      <c r="DA119" s="5"/>
      <c r="DB119" s="5"/>
      <c r="DC119" s="5"/>
      <c r="DD119" s="5"/>
      <c r="DE119" s="5"/>
      <c r="DF119" s="5"/>
      <c r="DG119" s="5"/>
    </row>
    <row r="120" spans="1:11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5"/>
      <c r="DA120" s="5"/>
      <c r="DB120" s="5"/>
      <c r="DC120" s="5"/>
      <c r="DD120" s="5"/>
      <c r="DE120" s="5"/>
      <c r="DF120" s="5"/>
      <c r="DG120" s="5"/>
    </row>
    <row r="121" spans="1:11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5"/>
      <c r="DA121" s="5"/>
      <c r="DB121" s="5"/>
      <c r="DC121" s="5"/>
      <c r="DD121" s="5"/>
      <c r="DE121" s="5"/>
      <c r="DF121" s="5"/>
      <c r="DG121" s="5"/>
    </row>
    <row r="122" spans="1:11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5"/>
      <c r="DA122" s="5"/>
      <c r="DB122" s="5"/>
      <c r="DC122" s="5"/>
      <c r="DD122" s="5"/>
      <c r="DE122" s="5"/>
      <c r="DF122" s="5"/>
      <c r="DG122" s="5"/>
    </row>
    <row r="123" spans="1:11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5"/>
      <c r="DA123" s="5"/>
      <c r="DB123" s="5"/>
      <c r="DC123" s="5"/>
      <c r="DD123" s="5"/>
      <c r="DE123" s="5"/>
      <c r="DF123" s="5"/>
      <c r="DG123" s="5"/>
    </row>
    <row r="124" spans="1:11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5"/>
      <c r="DA124" s="5"/>
      <c r="DB124" s="5"/>
      <c r="DC124" s="5"/>
      <c r="DD124" s="5"/>
      <c r="DE124" s="5"/>
      <c r="DF124" s="5"/>
      <c r="DG124" s="5"/>
    </row>
    <row r="125" spans="1:11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5"/>
      <c r="DA125" s="5"/>
      <c r="DB125" s="5"/>
      <c r="DC125" s="5"/>
      <c r="DD125" s="5"/>
      <c r="DE125" s="5"/>
      <c r="DF125" s="5"/>
      <c r="DG125" s="5"/>
    </row>
    <row r="126" spans="1:11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5"/>
      <c r="DA126" s="5"/>
      <c r="DB126" s="5"/>
      <c r="DC126" s="5"/>
      <c r="DD126" s="5"/>
      <c r="DE126" s="5"/>
      <c r="DF126" s="5"/>
      <c r="DG126" s="5"/>
    </row>
    <row r="127" spans="1:11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5"/>
      <c r="DA127" s="5"/>
      <c r="DB127" s="5"/>
      <c r="DC127" s="5"/>
      <c r="DD127" s="5"/>
      <c r="DE127" s="5"/>
      <c r="DF127" s="5"/>
      <c r="DG127" s="5"/>
    </row>
    <row r="128" spans="1:11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5"/>
      <c r="DA128" s="5"/>
      <c r="DB128" s="5"/>
      <c r="DC128" s="5"/>
      <c r="DD128" s="5"/>
      <c r="DE128" s="5"/>
      <c r="DF128" s="5"/>
      <c r="DG128" s="5"/>
    </row>
    <row r="129" spans="1:11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5"/>
      <c r="DA129" s="5"/>
      <c r="DB129" s="5"/>
      <c r="DC129" s="5"/>
      <c r="DD129" s="5"/>
      <c r="DE129" s="5"/>
      <c r="DF129" s="5"/>
      <c r="DG129" s="5"/>
    </row>
    <row r="130" spans="1:11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5"/>
      <c r="DA130" s="5"/>
      <c r="DB130" s="5"/>
      <c r="DC130" s="5"/>
      <c r="DD130" s="5"/>
      <c r="DE130" s="5"/>
      <c r="DF130" s="5"/>
      <c r="DG130" s="5"/>
    </row>
    <row r="131" spans="1:11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5"/>
      <c r="DA131" s="5"/>
      <c r="DB131" s="5"/>
      <c r="DC131" s="5"/>
      <c r="DD131" s="5"/>
      <c r="DE131" s="5"/>
      <c r="DF131" s="5"/>
      <c r="DG131" s="5"/>
    </row>
    <row r="132" spans="1:11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5"/>
      <c r="DA132" s="5"/>
      <c r="DB132" s="5"/>
      <c r="DC132" s="5"/>
      <c r="DD132" s="5"/>
      <c r="DE132" s="5"/>
      <c r="DF132" s="5"/>
      <c r="DG132" s="5"/>
    </row>
    <row r="133" spans="1:11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5"/>
      <c r="DA133" s="5"/>
      <c r="DB133" s="5"/>
      <c r="DC133" s="5"/>
      <c r="DD133" s="5"/>
      <c r="DE133" s="5"/>
      <c r="DF133" s="5"/>
      <c r="DG133" s="5"/>
    </row>
    <row r="134" spans="1:11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5"/>
      <c r="DA134" s="5"/>
      <c r="DB134" s="5"/>
      <c r="DC134" s="5"/>
      <c r="DD134" s="5"/>
      <c r="DE134" s="5"/>
      <c r="DF134" s="5"/>
      <c r="DG134" s="5"/>
    </row>
    <row r="135" spans="1:11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5"/>
      <c r="DA135" s="5"/>
      <c r="DB135" s="5"/>
      <c r="DC135" s="5"/>
      <c r="DD135" s="5"/>
      <c r="DE135" s="5"/>
      <c r="DF135" s="5"/>
      <c r="DG135" s="5"/>
    </row>
    <row r="136" spans="1:11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5"/>
      <c r="DA136" s="5"/>
      <c r="DB136" s="5"/>
      <c r="DC136" s="5"/>
      <c r="DD136" s="5"/>
      <c r="DE136" s="5"/>
      <c r="DF136" s="5"/>
      <c r="DG136" s="5"/>
    </row>
    <row r="137" spans="1:11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5"/>
      <c r="DA137" s="5"/>
      <c r="DB137" s="5"/>
      <c r="DC137" s="5"/>
      <c r="DD137" s="5"/>
      <c r="DE137" s="5"/>
      <c r="DF137" s="5"/>
      <c r="DG137" s="5"/>
    </row>
    <row r="138" spans="1:11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5"/>
      <c r="DA138" s="5"/>
      <c r="DB138" s="5"/>
      <c r="DC138" s="5"/>
      <c r="DD138" s="5"/>
      <c r="DE138" s="5"/>
      <c r="DF138" s="5"/>
      <c r="DG138" s="5"/>
    </row>
    <row r="139" spans="1:11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5"/>
      <c r="DA139" s="5"/>
      <c r="DB139" s="5"/>
      <c r="DC139" s="5"/>
      <c r="DD139" s="5"/>
      <c r="DE139" s="5"/>
      <c r="DF139" s="5"/>
      <c r="DG139" s="5"/>
    </row>
    <row r="140" spans="1:11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5"/>
      <c r="DA140" s="5"/>
      <c r="DB140" s="5"/>
      <c r="DC140" s="5"/>
      <c r="DD140" s="5"/>
      <c r="DE140" s="5"/>
      <c r="DF140" s="5"/>
      <c r="DG140" s="5"/>
    </row>
    <row r="141" spans="1:11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5"/>
      <c r="DA141" s="5"/>
      <c r="DB141" s="5"/>
      <c r="DC141" s="5"/>
      <c r="DD141" s="5"/>
      <c r="DE141" s="5"/>
      <c r="DF141" s="5"/>
      <c r="DG141" s="5"/>
    </row>
    <row r="142" spans="1:11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5"/>
      <c r="DA142" s="5"/>
      <c r="DB142" s="5"/>
      <c r="DC142" s="5"/>
      <c r="DD142" s="5"/>
      <c r="DE142" s="5"/>
      <c r="DF142" s="5"/>
      <c r="DG142" s="5"/>
    </row>
    <row r="143" spans="1:11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5"/>
      <c r="DA143" s="5"/>
      <c r="DB143" s="5"/>
      <c r="DC143" s="5"/>
      <c r="DD143" s="5"/>
      <c r="DE143" s="5"/>
      <c r="DF143" s="5"/>
      <c r="DG143" s="5"/>
    </row>
    <row r="144" spans="1:11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5"/>
      <c r="DA144" s="5"/>
      <c r="DB144" s="5"/>
      <c r="DC144" s="5"/>
      <c r="DD144" s="5"/>
      <c r="DE144" s="5"/>
      <c r="DF144" s="5"/>
      <c r="DG144" s="5"/>
    </row>
    <row r="145" spans="1:11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5"/>
      <c r="DA145" s="5"/>
      <c r="DB145" s="5"/>
      <c r="DC145" s="5"/>
      <c r="DD145" s="5"/>
      <c r="DE145" s="5"/>
      <c r="DF145" s="5"/>
      <c r="DG145" s="5"/>
    </row>
    <row r="146" spans="1:11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5"/>
      <c r="DA146" s="5"/>
      <c r="DB146" s="5"/>
      <c r="DC146" s="5"/>
      <c r="DD146" s="5"/>
      <c r="DE146" s="5"/>
      <c r="DF146" s="5"/>
      <c r="DG146" s="5"/>
    </row>
    <row r="147" spans="1:11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5"/>
      <c r="DA147" s="5"/>
      <c r="DB147" s="5"/>
      <c r="DC147" s="5"/>
      <c r="DD147" s="5"/>
      <c r="DE147" s="5"/>
      <c r="DF147" s="5"/>
      <c r="DG147" s="5"/>
    </row>
    <row r="148" spans="1:11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5"/>
      <c r="DA148" s="5"/>
      <c r="DB148" s="5"/>
      <c r="DC148" s="5"/>
      <c r="DD148" s="5"/>
      <c r="DE148" s="5"/>
      <c r="DF148" s="5"/>
      <c r="DG148" s="5"/>
    </row>
    <row r="149" spans="1:11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5"/>
      <c r="DA149" s="5"/>
      <c r="DB149" s="5"/>
      <c r="DC149" s="5"/>
      <c r="DD149" s="5"/>
      <c r="DE149" s="5"/>
      <c r="DF149" s="5"/>
      <c r="DG149" s="5"/>
    </row>
    <row r="150" spans="1:11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5"/>
      <c r="DA150" s="5"/>
      <c r="DB150" s="5"/>
      <c r="DC150" s="5"/>
      <c r="DD150" s="5"/>
      <c r="DE150" s="5"/>
      <c r="DF150" s="5"/>
      <c r="DG150" s="5"/>
    </row>
    <row r="151" spans="1:11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I151" s="4"/>
      <c r="CJ151" s="4"/>
      <c r="CK151" s="4"/>
      <c r="CL151" s="4"/>
      <c r="CM151" s="4"/>
      <c r="CN151" s="4"/>
      <c r="CO151" s="4"/>
      <c r="CP151" s="4"/>
      <c r="CQ151" s="4"/>
      <c r="CR151" s="4"/>
      <c r="CS151" s="4"/>
      <c r="CT151" s="4"/>
      <c r="CU151" s="4"/>
      <c r="CV151" s="4"/>
      <c r="CW151" s="4"/>
      <c r="CX151" s="4"/>
      <c r="CY151" s="4"/>
      <c r="CZ151" s="5"/>
      <c r="DA151" s="5"/>
      <c r="DB151" s="5"/>
      <c r="DC151" s="5"/>
      <c r="DD151" s="5"/>
      <c r="DE151" s="5"/>
      <c r="DF151" s="5"/>
      <c r="DG151" s="5"/>
    </row>
    <row r="152" spans="1:11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I152" s="4"/>
      <c r="CJ152" s="4"/>
      <c r="CK152" s="4"/>
      <c r="CL152" s="4"/>
      <c r="CM152" s="4"/>
      <c r="CN152" s="4"/>
      <c r="CO152" s="4"/>
      <c r="CP152" s="4"/>
      <c r="CQ152" s="4"/>
      <c r="CR152" s="4"/>
      <c r="CS152" s="4"/>
      <c r="CT152" s="4"/>
      <c r="CU152" s="4"/>
      <c r="CV152" s="4"/>
      <c r="CW152" s="4"/>
      <c r="CX152" s="4"/>
      <c r="CY152" s="4"/>
      <c r="CZ152" s="5"/>
      <c r="DA152" s="5"/>
      <c r="DB152" s="5"/>
      <c r="DC152" s="5"/>
      <c r="DD152" s="5"/>
      <c r="DE152" s="5"/>
      <c r="DF152" s="5"/>
      <c r="DG152" s="5"/>
    </row>
    <row r="153" spans="1:11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I153" s="4"/>
      <c r="CJ153" s="4"/>
      <c r="CK153" s="4"/>
      <c r="CL153" s="4"/>
      <c r="CM153" s="4"/>
      <c r="CN153" s="4"/>
      <c r="CO153" s="4"/>
      <c r="CP153" s="4"/>
      <c r="CQ153" s="4"/>
      <c r="CR153" s="4"/>
      <c r="CS153" s="4"/>
      <c r="CT153" s="4"/>
      <c r="CU153" s="4"/>
      <c r="CV153" s="4"/>
      <c r="CW153" s="4"/>
      <c r="CX153" s="4"/>
      <c r="CY153" s="4"/>
      <c r="CZ153" s="5"/>
      <c r="DA153" s="5"/>
      <c r="DB153" s="5"/>
      <c r="DC153" s="5"/>
      <c r="DD153" s="5"/>
      <c r="DE153" s="5"/>
      <c r="DF153" s="5"/>
      <c r="DG153" s="5"/>
    </row>
    <row r="154" spans="1:11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I154" s="4"/>
      <c r="CJ154" s="4"/>
      <c r="CK154" s="4"/>
      <c r="CL154" s="4"/>
      <c r="CM154" s="4"/>
      <c r="CN154" s="4"/>
      <c r="CO154" s="4"/>
      <c r="CP154" s="4"/>
      <c r="CQ154" s="4"/>
      <c r="CR154" s="4"/>
      <c r="CS154" s="4"/>
      <c r="CT154" s="4"/>
      <c r="CU154" s="4"/>
      <c r="CV154" s="4"/>
      <c r="CW154" s="4"/>
      <c r="CX154" s="4"/>
      <c r="CY154" s="4"/>
      <c r="CZ154" s="5"/>
      <c r="DA154" s="5"/>
      <c r="DB154" s="5"/>
      <c r="DC154" s="5"/>
      <c r="DD154" s="5"/>
      <c r="DE154" s="5"/>
      <c r="DF154" s="5"/>
      <c r="DG154" s="5"/>
    </row>
    <row r="155" spans="1:11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I155" s="4"/>
      <c r="CJ155" s="4"/>
      <c r="CK155" s="4"/>
      <c r="CL155" s="4"/>
      <c r="CM155" s="4"/>
      <c r="CN155" s="4"/>
      <c r="CO155" s="4"/>
      <c r="CP155" s="4"/>
      <c r="CQ155" s="4"/>
      <c r="CR155" s="4"/>
      <c r="CS155" s="4"/>
      <c r="CT155" s="4"/>
      <c r="CU155" s="4"/>
      <c r="CV155" s="4"/>
      <c r="CW155" s="4"/>
      <c r="CX155" s="4"/>
      <c r="CY155" s="4"/>
      <c r="CZ155" s="5"/>
      <c r="DA155" s="5"/>
      <c r="DB155" s="5"/>
      <c r="DC155" s="5"/>
      <c r="DD155" s="5"/>
      <c r="DE155" s="5"/>
      <c r="DF155" s="5"/>
      <c r="DG155" s="5"/>
    </row>
    <row r="156" spans="1:11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I156" s="4"/>
      <c r="CJ156" s="4"/>
      <c r="CK156" s="4"/>
      <c r="CL156" s="4"/>
      <c r="CM156" s="4"/>
      <c r="CN156" s="4"/>
      <c r="CO156" s="4"/>
      <c r="CP156" s="4"/>
      <c r="CQ156" s="4"/>
      <c r="CR156" s="4"/>
      <c r="CS156" s="4"/>
      <c r="CT156" s="4"/>
      <c r="CU156" s="4"/>
      <c r="CV156" s="4"/>
      <c r="CW156" s="4"/>
      <c r="CX156" s="4"/>
      <c r="CY156" s="4"/>
      <c r="CZ156" s="5"/>
      <c r="DA156" s="5"/>
      <c r="DB156" s="5"/>
      <c r="DC156" s="5"/>
      <c r="DD156" s="5"/>
      <c r="DE156" s="5"/>
      <c r="DF156" s="5"/>
      <c r="DG156" s="5"/>
    </row>
    <row r="157" spans="1:11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I157" s="4"/>
      <c r="CJ157" s="4"/>
      <c r="CK157" s="4"/>
      <c r="CL157" s="4"/>
      <c r="CM157" s="4"/>
      <c r="CN157" s="4"/>
      <c r="CO157" s="4"/>
      <c r="CP157" s="4"/>
      <c r="CQ157" s="4"/>
      <c r="CR157" s="4"/>
      <c r="CS157" s="4"/>
      <c r="CT157" s="4"/>
      <c r="CU157" s="4"/>
      <c r="CV157" s="4"/>
      <c r="CW157" s="4"/>
      <c r="CX157" s="4"/>
      <c r="CY157" s="4"/>
      <c r="CZ157" s="5"/>
      <c r="DA157" s="5"/>
      <c r="DB157" s="5"/>
      <c r="DC157" s="5"/>
      <c r="DD157" s="5"/>
      <c r="DE157" s="5"/>
      <c r="DF157" s="5"/>
      <c r="DG157" s="5"/>
    </row>
    <row r="158" spans="1:11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I158" s="4"/>
      <c r="CJ158" s="4"/>
      <c r="CK158" s="4"/>
      <c r="CL158" s="4"/>
      <c r="CM158" s="4"/>
      <c r="CN158" s="4"/>
      <c r="CO158" s="4"/>
      <c r="CP158" s="4"/>
      <c r="CQ158" s="4"/>
      <c r="CR158" s="4"/>
      <c r="CS158" s="4"/>
      <c r="CT158" s="4"/>
      <c r="CU158" s="4"/>
      <c r="CV158" s="4"/>
      <c r="CW158" s="4"/>
      <c r="CX158" s="4"/>
      <c r="CY158" s="4"/>
      <c r="CZ158" s="5"/>
      <c r="DA158" s="5"/>
      <c r="DB158" s="5"/>
      <c r="DC158" s="5"/>
      <c r="DD158" s="5"/>
      <c r="DE158" s="5"/>
      <c r="DF158" s="5"/>
      <c r="DG158" s="5"/>
    </row>
    <row r="159" spans="1:11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I159" s="4"/>
      <c r="CJ159" s="4"/>
      <c r="CK159" s="4"/>
      <c r="CL159" s="4"/>
      <c r="CM159" s="4"/>
      <c r="CN159" s="4"/>
      <c r="CO159" s="4"/>
      <c r="CP159" s="4"/>
      <c r="CQ159" s="4"/>
      <c r="CR159" s="4"/>
      <c r="CS159" s="4"/>
      <c r="CT159" s="4"/>
      <c r="CU159" s="4"/>
      <c r="CV159" s="4"/>
      <c r="CW159" s="4"/>
      <c r="CX159" s="4"/>
      <c r="CY159" s="4"/>
      <c r="CZ159" s="5"/>
      <c r="DA159" s="5"/>
      <c r="DB159" s="5"/>
      <c r="DC159" s="5"/>
      <c r="DD159" s="5"/>
      <c r="DE159" s="5"/>
      <c r="DF159" s="5"/>
      <c r="DG159" s="5"/>
    </row>
    <row r="160" spans="1:11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I160" s="4"/>
      <c r="CJ160" s="4"/>
      <c r="CK160" s="4"/>
      <c r="CL160" s="4"/>
      <c r="CM160" s="4"/>
      <c r="CN160" s="4"/>
      <c r="CO160" s="4"/>
      <c r="CP160" s="4"/>
      <c r="CQ160" s="4"/>
      <c r="CR160" s="4"/>
      <c r="CS160" s="4"/>
      <c r="CT160" s="4"/>
      <c r="CU160" s="4"/>
      <c r="CV160" s="4"/>
      <c r="CW160" s="4"/>
      <c r="CX160" s="4"/>
      <c r="CY160" s="4"/>
      <c r="CZ160" s="5"/>
      <c r="DA160" s="5"/>
      <c r="DB160" s="5"/>
      <c r="DC160" s="5"/>
      <c r="DD160" s="5"/>
      <c r="DE160" s="5"/>
      <c r="DF160" s="5"/>
      <c r="DG160" s="5"/>
    </row>
    <row r="161" spans="1:11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I161" s="4"/>
      <c r="CJ161" s="4"/>
      <c r="CK161" s="4"/>
      <c r="CL161" s="4"/>
      <c r="CM161" s="4"/>
      <c r="CN161" s="4"/>
      <c r="CO161" s="4"/>
      <c r="CP161" s="4"/>
      <c r="CQ161" s="4"/>
      <c r="CR161" s="4"/>
      <c r="CS161" s="4"/>
      <c r="CT161" s="4"/>
      <c r="CU161" s="4"/>
      <c r="CV161" s="4"/>
      <c r="CW161" s="4"/>
      <c r="CX161" s="4"/>
      <c r="CY161" s="4"/>
      <c r="CZ161" s="5"/>
      <c r="DA161" s="5"/>
      <c r="DB161" s="5"/>
      <c r="DC161" s="5"/>
      <c r="DD161" s="5"/>
      <c r="DE161" s="5"/>
      <c r="DF161" s="5"/>
      <c r="DG161" s="5"/>
    </row>
    <row r="162" spans="1:11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I162" s="4"/>
      <c r="CJ162" s="4"/>
      <c r="CK162" s="4"/>
      <c r="CL162" s="4"/>
      <c r="CM162" s="4"/>
      <c r="CN162" s="4"/>
      <c r="CO162" s="4"/>
      <c r="CP162" s="4"/>
      <c r="CQ162" s="4"/>
      <c r="CR162" s="4"/>
      <c r="CS162" s="4"/>
      <c r="CT162" s="4"/>
      <c r="CU162" s="4"/>
      <c r="CV162" s="4"/>
      <c r="CW162" s="4"/>
      <c r="CX162" s="4"/>
      <c r="CY162" s="4"/>
      <c r="CZ162" s="5"/>
      <c r="DA162" s="5"/>
      <c r="DB162" s="5"/>
      <c r="DC162" s="5"/>
      <c r="DD162" s="5"/>
      <c r="DE162" s="5"/>
      <c r="DF162" s="5"/>
      <c r="DG162" s="5"/>
    </row>
    <row r="163" spans="1:11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I163" s="4"/>
      <c r="CJ163" s="4"/>
      <c r="CK163" s="4"/>
      <c r="CL163" s="4"/>
      <c r="CM163" s="4"/>
      <c r="CN163" s="4"/>
      <c r="CO163" s="4"/>
      <c r="CP163" s="4"/>
      <c r="CQ163" s="4"/>
      <c r="CR163" s="4"/>
      <c r="CS163" s="4"/>
      <c r="CT163" s="4"/>
      <c r="CU163" s="4"/>
      <c r="CV163" s="4"/>
      <c r="CW163" s="4"/>
      <c r="CX163" s="4"/>
      <c r="CY163" s="4"/>
      <c r="CZ163" s="5"/>
      <c r="DA163" s="5"/>
      <c r="DB163" s="5"/>
      <c r="DC163" s="5"/>
      <c r="DD163" s="5"/>
      <c r="DE163" s="5"/>
      <c r="DF163" s="5"/>
      <c r="DG163" s="5"/>
    </row>
    <row r="164" spans="1:11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I164" s="4"/>
      <c r="CJ164" s="4"/>
      <c r="CK164" s="4"/>
      <c r="CL164" s="4"/>
      <c r="CM164" s="4"/>
      <c r="CN164" s="4"/>
      <c r="CO164" s="4"/>
      <c r="CP164" s="4"/>
      <c r="CQ164" s="4"/>
      <c r="CR164" s="4"/>
      <c r="CS164" s="4"/>
      <c r="CT164" s="4"/>
      <c r="CU164" s="4"/>
      <c r="CV164" s="4"/>
      <c r="CW164" s="4"/>
      <c r="CX164" s="4"/>
      <c r="CY164" s="4"/>
      <c r="CZ164" s="5"/>
      <c r="DA164" s="5"/>
      <c r="DB164" s="5"/>
      <c r="DC164" s="5"/>
      <c r="DD164" s="5"/>
      <c r="DE164" s="5"/>
      <c r="DF164" s="5"/>
      <c r="DG164" s="5"/>
    </row>
    <row r="165" spans="1:11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4"/>
      <c r="CR165" s="4"/>
      <c r="CS165" s="4"/>
      <c r="CT165" s="4"/>
      <c r="CU165" s="4"/>
      <c r="CV165" s="4"/>
      <c r="CW165" s="4"/>
      <c r="CX165" s="4"/>
      <c r="CY165" s="4"/>
      <c r="CZ165" s="5"/>
      <c r="DA165" s="5"/>
      <c r="DB165" s="5"/>
      <c r="DC165" s="5"/>
      <c r="DD165" s="5"/>
      <c r="DE165" s="5"/>
      <c r="DF165" s="5"/>
      <c r="DG165" s="5"/>
    </row>
    <row r="166" spans="1:11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I166" s="4"/>
      <c r="CJ166" s="4"/>
      <c r="CK166" s="4"/>
      <c r="CL166" s="4"/>
      <c r="CM166" s="4"/>
      <c r="CN166" s="4"/>
      <c r="CO166" s="4"/>
      <c r="CP166" s="4"/>
      <c r="CQ166" s="4"/>
      <c r="CR166" s="4"/>
      <c r="CS166" s="4"/>
      <c r="CT166" s="4"/>
      <c r="CU166" s="4"/>
      <c r="CV166" s="4"/>
      <c r="CW166" s="4"/>
      <c r="CX166" s="4"/>
      <c r="CY166" s="4"/>
      <c r="CZ166" s="5"/>
      <c r="DA166" s="5"/>
      <c r="DB166" s="5"/>
      <c r="DC166" s="5"/>
      <c r="DD166" s="5"/>
      <c r="DE166" s="5"/>
      <c r="DF166" s="5"/>
      <c r="DG166" s="5"/>
    </row>
    <row r="167" spans="1:11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I167" s="4"/>
      <c r="CJ167" s="4"/>
      <c r="CK167" s="4"/>
      <c r="CL167" s="4"/>
      <c r="CM167" s="4"/>
      <c r="CN167" s="4"/>
      <c r="CO167" s="4"/>
      <c r="CP167" s="4"/>
      <c r="CQ167" s="4"/>
      <c r="CR167" s="4"/>
      <c r="CS167" s="4"/>
      <c r="CT167" s="4"/>
      <c r="CU167" s="4"/>
      <c r="CV167" s="4"/>
      <c r="CW167" s="4"/>
      <c r="CX167" s="4"/>
      <c r="CY167" s="4"/>
      <c r="CZ167" s="5"/>
      <c r="DA167" s="5"/>
      <c r="DB167" s="5"/>
      <c r="DC167" s="5"/>
      <c r="DD167" s="5"/>
      <c r="DE167" s="5"/>
      <c r="DF167" s="5"/>
      <c r="DG167" s="5"/>
    </row>
    <row r="168" spans="1:11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I168" s="4"/>
      <c r="CJ168" s="4"/>
      <c r="CK168" s="4"/>
      <c r="CL168" s="4"/>
      <c r="CM168" s="4"/>
      <c r="CN168" s="4"/>
      <c r="CO168" s="4"/>
      <c r="CP168" s="4"/>
      <c r="CQ168" s="4"/>
      <c r="CR168" s="4"/>
      <c r="CS168" s="4"/>
      <c r="CT168" s="4"/>
      <c r="CU168" s="4"/>
      <c r="CV168" s="4"/>
      <c r="CW168" s="4"/>
      <c r="CX168" s="4"/>
      <c r="CY168" s="4"/>
      <c r="CZ168" s="5"/>
      <c r="DA168" s="5"/>
      <c r="DB168" s="5"/>
      <c r="DC168" s="5"/>
      <c r="DD168" s="5"/>
      <c r="DE168" s="5"/>
      <c r="DF168" s="5"/>
      <c r="DG168" s="5"/>
    </row>
    <row r="169" spans="1:11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I169" s="4"/>
      <c r="CJ169" s="4"/>
      <c r="CK169" s="4"/>
      <c r="CL169" s="4"/>
      <c r="CM169" s="4"/>
      <c r="CN169" s="4"/>
      <c r="CO169" s="4"/>
      <c r="CP169" s="4"/>
      <c r="CQ169" s="4"/>
      <c r="CR169" s="4"/>
      <c r="CS169" s="4"/>
      <c r="CT169" s="4"/>
      <c r="CU169" s="4"/>
      <c r="CV169" s="4"/>
      <c r="CW169" s="4"/>
      <c r="CX169" s="4"/>
      <c r="CY169" s="4"/>
      <c r="CZ169" s="5"/>
      <c r="DA169" s="5"/>
      <c r="DB169" s="5"/>
      <c r="DC169" s="5"/>
      <c r="DD169" s="5"/>
      <c r="DE169" s="5"/>
      <c r="DF169" s="5"/>
      <c r="DG169" s="5"/>
    </row>
    <row r="170" spans="1:11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I170" s="4"/>
      <c r="CJ170" s="4"/>
      <c r="CK170" s="4"/>
      <c r="CL170" s="4"/>
      <c r="CM170" s="4"/>
      <c r="CN170" s="4"/>
      <c r="CO170" s="4"/>
      <c r="CP170" s="4"/>
      <c r="CQ170" s="4"/>
      <c r="CR170" s="4"/>
      <c r="CS170" s="4"/>
      <c r="CT170" s="4"/>
      <c r="CU170" s="4"/>
      <c r="CV170" s="4"/>
      <c r="CW170" s="4"/>
      <c r="CX170" s="4"/>
      <c r="CY170" s="4"/>
      <c r="CZ170" s="5"/>
      <c r="DA170" s="5"/>
      <c r="DB170" s="5"/>
      <c r="DC170" s="5"/>
      <c r="DD170" s="5"/>
      <c r="DE170" s="5"/>
      <c r="DF170" s="5"/>
      <c r="DG170" s="5"/>
    </row>
    <row r="171" spans="1:11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I171" s="4"/>
      <c r="CJ171" s="4"/>
      <c r="CK171" s="4"/>
      <c r="CL171" s="4"/>
      <c r="CM171" s="4"/>
      <c r="CN171" s="4"/>
      <c r="CO171" s="4"/>
      <c r="CP171" s="4"/>
      <c r="CQ171" s="4"/>
      <c r="CR171" s="4"/>
      <c r="CS171" s="4"/>
      <c r="CT171" s="4"/>
      <c r="CU171" s="4"/>
      <c r="CV171" s="4"/>
      <c r="CW171" s="4"/>
      <c r="CX171" s="4"/>
      <c r="CY171" s="4"/>
      <c r="CZ171" s="5"/>
      <c r="DA171" s="5"/>
      <c r="DB171" s="5"/>
      <c r="DC171" s="5"/>
      <c r="DD171" s="5"/>
      <c r="DE171" s="5"/>
      <c r="DF171" s="5"/>
      <c r="DG171" s="5"/>
    </row>
    <row r="172" spans="1:11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I172" s="4"/>
      <c r="CJ172" s="4"/>
      <c r="CK172" s="4"/>
      <c r="CL172" s="4"/>
      <c r="CM172" s="4"/>
      <c r="CN172" s="4"/>
      <c r="CO172" s="4"/>
      <c r="CP172" s="4"/>
      <c r="CQ172" s="4"/>
      <c r="CR172" s="4"/>
      <c r="CS172" s="4"/>
      <c r="CT172" s="4"/>
      <c r="CU172" s="4"/>
      <c r="CV172" s="4"/>
      <c r="CW172" s="4"/>
      <c r="CX172" s="4"/>
      <c r="CY172" s="4"/>
      <c r="CZ172" s="5"/>
      <c r="DA172" s="5"/>
      <c r="DB172" s="5"/>
      <c r="DC172" s="5"/>
      <c r="DD172" s="5"/>
      <c r="DE172" s="5"/>
      <c r="DF172" s="5"/>
      <c r="DG172" s="5"/>
    </row>
    <row r="173" spans="1:11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I173" s="4"/>
      <c r="CJ173" s="4"/>
      <c r="CK173" s="4"/>
      <c r="CL173" s="4"/>
      <c r="CM173" s="4"/>
      <c r="CN173" s="4"/>
      <c r="CO173" s="4"/>
      <c r="CP173" s="4"/>
      <c r="CQ173" s="4"/>
      <c r="CR173" s="4"/>
      <c r="CS173" s="4"/>
      <c r="CT173" s="4"/>
      <c r="CU173" s="4"/>
      <c r="CV173" s="4"/>
      <c r="CW173" s="4"/>
      <c r="CX173" s="4"/>
      <c r="CY173" s="4"/>
      <c r="CZ173" s="5"/>
      <c r="DA173" s="5"/>
      <c r="DB173" s="5"/>
      <c r="DC173" s="5"/>
      <c r="DD173" s="5"/>
      <c r="DE173" s="5"/>
      <c r="DF173" s="5"/>
      <c r="DG173" s="5"/>
    </row>
    <row r="174" spans="1:11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I174" s="4"/>
      <c r="CJ174" s="4"/>
      <c r="CK174" s="4"/>
      <c r="CL174" s="4"/>
      <c r="CM174" s="4"/>
      <c r="CN174" s="4"/>
      <c r="CO174" s="4"/>
      <c r="CP174" s="4"/>
      <c r="CQ174" s="4"/>
      <c r="CR174" s="4"/>
      <c r="CS174" s="4"/>
      <c r="CT174" s="4"/>
      <c r="CU174" s="4"/>
      <c r="CV174" s="4"/>
      <c r="CW174" s="4"/>
      <c r="CX174" s="4"/>
      <c r="CY174" s="4"/>
      <c r="CZ174" s="5"/>
      <c r="DA174" s="5"/>
      <c r="DB174" s="5"/>
      <c r="DC174" s="5"/>
      <c r="DD174" s="5"/>
      <c r="DE174" s="5"/>
      <c r="DF174" s="5"/>
      <c r="DG174" s="5"/>
    </row>
    <row r="175" spans="1:11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I175" s="4"/>
      <c r="CJ175" s="4"/>
      <c r="CK175" s="4"/>
      <c r="CL175" s="4"/>
      <c r="CM175" s="4"/>
      <c r="CN175" s="4"/>
      <c r="CO175" s="4"/>
      <c r="CP175" s="4"/>
      <c r="CQ175" s="4"/>
      <c r="CR175" s="4"/>
      <c r="CS175" s="4"/>
      <c r="CT175" s="4"/>
      <c r="CU175" s="4"/>
      <c r="CV175" s="4"/>
      <c r="CW175" s="4"/>
      <c r="CX175" s="4"/>
      <c r="CY175" s="4"/>
      <c r="CZ175" s="5"/>
      <c r="DA175" s="5"/>
      <c r="DB175" s="5"/>
      <c r="DC175" s="5"/>
      <c r="DD175" s="5"/>
      <c r="DE175" s="5"/>
      <c r="DF175" s="5"/>
      <c r="DG175" s="5"/>
    </row>
    <row r="176" spans="1:11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I176" s="4"/>
      <c r="CJ176" s="4"/>
      <c r="CK176" s="4"/>
      <c r="CL176" s="4"/>
      <c r="CM176" s="4"/>
      <c r="CN176" s="4"/>
      <c r="CO176" s="4"/>
      <c r="CP176" s="4"/>
      <c r="CQ176" s="4"/>
      <c r="CR176" s="4"/>
      <c r="CS176" s="4"/>
      <c r="CT176" s="4"/>
      <c r="CU176" s="4"/>
      <c r="CV176" s="4"/>
      <c r="CW176" s="4"/>
      <c r="CX176" s="4"/>
      <c r="CY176" s="4"/>
      <c r="CZ176" s="5"/>
      <c r="DA176" s="5"/>
      <c r="DB176" s="5"/>
      <c r="DC176" s="5"/>
      <c r="DD176" s="5"/>
      <c r="DE176" s="5"/>
      <c r="DF176" s="5"/>
      <c r="DG176" s="5"/>
    </row>
    <row r="177" spans="1:11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I177" s="4"/>
      <c r="CJ177" s="4"/>
      <c r="CK177" s="4"/>
      <c r="CL177" s="4"/>
      <c r="CM177" s="4"/>
      <c r="CN177" s="4"/>
      <c r="CO177" s="4"/>
      <c r="CP177" s="4"/>
      <c r="CQ177" s="4"/>
      <c r="CR177" s="4"/>
      <c r="CS177" s="4"/>
      <c r="CT177" s="4"/>
      <c r="CU177" s="4"/>
      <c r="CV177" s="4"/>
      <c r="CW177" s="4"/>
      <c r="CX177" s="4"/>
      <c r="CY177" s="4"/>
      <c r="CZ177" s="5"/>
      <c r="DA177" s="5"/>
      <c r="DB177" s="5"/>
      <c r="DC177" s="5"/>
      <c r="DD177" s="5"/>
      <c r="DE177" s="5"/>
      <c r="DF177" s="5"/>
      <c r="DG177" s="5"/>
    </row>
    <row r="178" spans="1:11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I178" s="4"/>
      <c r="CJ178" s="4"/>
      <c r="CK178" s="4"/>
      <c r="CL178" s="4"/>
      <c r="CM178" s="4"/>
      <c r="CN178" s="4"/>
      <c r="CO178" s="4"/>
      <c r="CP178" s="4"/>
      <c r="CQ178" s="4"/>
      <c r="CR178" s="4"/>
      <c r="CS178" s="4"/>
      <c r="CT178" s="4"/>
      <c r="CU178" s="4"/>
      <c r="CV178" s="4"/>
      <c r="CW178" s="4"/>
      <c r="CX178" s="4"/>
      <c r="CY178" s="4"/>
      <c r="CZ178" s="5"/>
      <c r="DA178" s="5"/>
      <c r="DB178" s="5"/>
      <c r="DC178" s="5"/>
      <c r="DD178" s="5"/>
      <c r="DE178" s="5"/>
      <c r="DF178" s="5"/>
      <c r="DG178" s="5"/>
    </row>
    <row r="179" spans="1:11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I179" s="4"/>
      <c r="CJ179" s="4"/>
      <c r="CK179" s="4"/>
      <c r="CL179" s="4"/>
      <c r="CM179" s="4"/>
      <c r="CN179" s="4"/>
      <c r="CO179" s="4"/>
      <c r="CP179" s="4"/>
      <c r="CQ179" s="4"/>
      <c r="CR179" s="4"/>
      <c r="CS179" s="4"/>
      <c r="CT179" s="4"/>
      <c r="CU179" s="4"/>
      <c r="CV179" s="4"/>
      <c r="CW179" s="4"/>
      <c r="CX179" s="4"/>
      <c r="CY179" s="4"/>
      <c r="CZ179" s="5"/>
      <c r="DA179" s="5"/>
      <c r="DB179" s="5"/>
      <c r="DC179" s="5"/>
      <c r="DD179" s="5"/>
      <c r="DE179" s="5"/>
      <c r="DF179" s="5"/>
      <c r="DG179" s="5"/>
    </row>
    <row r="180" spans="1:11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I180" s="4"/>
      <c r="CJ180" s="4"/>
      <c r="CK180" s="4"/>
      <c r="CL180" s="4"/>
      <c r="CM180" s="4"/>
      <c r="CN180" s="4"/>
      <c r="CO180" s="4"/>
      <c r="CP180" s="4"/>
      <c r="CQ180" s="4"/>
      <c r="CR180" s="4"/>
      <c r="CS180" s="4"/>
      <c r="CT180" s="4"/>
      <c r="CU180" s="4"/>
      <c r="CV180" s="4"/>
      <c r="CW180" s="4"/>
      <c r="CX180" s="4"/>
      <c r="CY180" s="4"/>
      <c r="CZ180" s="5"/>
      <c r="DA180" s="5"/>
      <c r="DB180" s="5"/>
      <c r="DC180" s="5"/>
      <c r="DD180" s="5"/>
      <c r="DE180" s="5"/>
      <c r="DF180" s="5"/>
      <c r="DG180" s="5"/>
    </row>
    <row r="181" spans="1:11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I181" s="4"/>
      <c r="CJ181" s="4"/>
      <c r="CK181" s="4"/>
      <c r="CL181" s="4"/>
      <c r="CM181" s="4"/>
      <c r="CN181" s="4"/>
      <c r="CO181" s="4"/>
      <c r="CP181" s="4"/>
      <c r="CQ181" s="4"/>
      <c r="CR181" s="4"/>
      <c r="CS181" s="4"/>
      <c r="CT181" s="4"/>
      <c r="CU181" s="4"/>
      <c r="CV181" s="4"/>
      <c r="CW181" s="4"/>
      <c r="CX181" s="4"/>
      <c r="CY181" s="4"/>
      <c r="CZ181" s="5"/>
      <c r="DA181" s="5"/>
      <c r="DB181" s="5"/>
      <c r="DC181" s="5"/>
      <c r="DD181" s="5"/>
      <c r="DE181" s="5"/>
      <c r="DF181" s="5"/>
      <c r="DG181" s="5"/>
    </row>
    <row r="182" spans="1:11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I182" s="4"/>
      <c r="CJ182" s="4"/>
      <c r="CK182" s="4"/>
      <c r="CL182" s="4"/>
      <c r="CM182" s="4"/>
      <c r="CN182" s="4"/>
      <c r="CO182" s="4"/>
      <c r="CP182" s="4"/>
      <c r="CQ182" s="4"/>
      <c r="CR182" s="4"/>
      <c r="CS182" s="4"/>
      <c r="CT182" s="4"/>
      <c r="CU182" s="4"/>
      <c r="CV182" s="4"/>
      <c r="CW182" s="4"/>
      <c r="CX182" s="4"/>
      <c r="CY182" s="4"/>
      <c r="CZ182" s="5"/>
      <c r="DA182" s="5"/>
      <c r="DB182" s="5"/>
      <c r="DC182" s="5"/>
      <c r="DD182" s="5"/>
      <c r="DE182" s="5"/>
      <c r="DF182" s="5"/>
      <c r="DG182" s="5"/>
    </row>
    <row r="183" spans="1:11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I183" s="4"/>
      <c r="CJ183" s="4"/>
      <c r="CK183" s="4"/>
      <c r="CL183" s="4"/>
      <c r="CM183" s="4"/>
      <c r="CN183" s="4"/>
      <c r="CO183" s="4"/>
      <c r="CP183" s="4"/>
      <c r="CQ183" s="4"/>
      <c r="CR183" s="4"/>
      <c r="CS183" s="4"/>
      <c r="CT183" s="4"/>
      <c r="CU183" s="4"/>
      <c r="CV183" s="4"/>
      <c r="CW183" s="4"/>
      <c r="CX183" s="4"/>
      <c r="CY183" s="4"/>
      <c r="CZ183" s="5"/>
      <c r="DA183" s="5"/>
      <c r="DB183" s="5"/>
      <c r="DC183" s="5"/>
      <c r="DD183" s="5"/>
      <c r="DE183" s="5"/>
      <c r="DF183" s="5"/>
      <c r="DG183" s="5"/>
    </row>
    <row r="184" spans="1:11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I184" s="4"/>
      <c r="CJ184" s="4"/>
      <c r="CK184" s="4"/>
      <c r="CL184" s="4"/>
      <c r="CM184" s="4"/>
      <c r="CN184" s="4"/>
      <c r="CO184" s="4"/>
      <c r="CP184" s="4"/>
      <c r="CQ184" s="4"/>
      <c r="CR184" s="4"/>
      <c r="CS184" s="4"/>
      <c r="CT184" s="4"/>
      <c r="CU184" s="4"/>
      <c r="CV184" s="4"/>
      <c r="CW184" s="4"/>
      <c r="CX184" s="4"/>
      <c r="CY184" s="4"/>
      <c r="CZ184" s="5"/>
      <c r="DA184" s="5"/>
      <c r="DB184" s="5"/>
      <c r="DC184" s="5"/>
      <c r="DD184" s="5"/>
      <c r="DE184" s="5"/>
      <c r="DF184" s="5"/>
      <c r="DG184" s="5"/>
    </row>
    <row r="185" spans="1:11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I185" s="4"/>
      <c r="CJ185" s="4"/>
      <c r="CK185" s="4"/>
      <c r="CL185" s="4"/>
      <c r="CM185" s="4"/>
      <c r="CN185" s="4"/>
      <c r="CO185" s="4"/>
      <c r="CP185" s="4"/>
      <c r="CQ185" s="4"/>
      <c r="CR185" s="4"/>
      <c r="CS185" s="4"/>
      <c r="CT185" s="4"/>
      <c r="CU185" s="4"/>
      <c r="CV185" s="4"/>
      <c r="CW185" s="4"/>
      <c r="CX185" s="4"/>
      <c r="CY185" s="4"/>
      <c r="CZ185" s="5"/>
      <c r="DA185" s="5"/>
      <c r="DB185" s="5"/>
      <c r="DC185" s="5"/>
      <c r="DD185" s="5"/>
      <c r="DE185" s="5"/>
      <c r="DF185" s="5"/>
      <c r="DG185" s="5"/>
    </row>
    <row r="186" spans="1:11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I186" s="4"/>
      <c r="CJ186" s="4"/>
      <c r="CK186" s="4"/>
      <c r="CL186" s="4"/>
      <c r="CM186" s="4"/>
      <c r="CN186" s="4"/>
      <c r="CO186" s="4"/>
      <c r="CP186" s="4"/>
      <c r="CQ186" s="4"/>
      <c r="CR186" s="4"/>
      <c r="CS186" s="4"/>
      <c r="CT186" s="4"/>
      <c r="CU186" s="4"/>
      <c r="CV186" s="4"/>
      <c r="CW186" s="4"/>
      <c r="CX186" s="4"/>
      <c r="CY186" s="4"/>
      <c r="CZ186" s="5"/>
      <c r="DA186" s="5"/>
      <c r="DB186" s="5"/>
      <c r="DC186" s="5"/>
      <c r="DD186" s="5"/>
      <c r="DE186" s="5"/>
      <c r="DF186" s="5"/>
      <c r="DG186" s="5"/>
    </row>
    <row r="187" spans="1:11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I187" s="4"/>
      <c r="CJ187" s="4"/>
      <c r="CK187" s="4"/>
      <c r="CL187" s="4"/>
      <c r="CM187" s="4"/>
      <c r="CN187" s="4"/>
      <c r="CO187" s="4"/>
      <c r="CP187" s="4"/>
      <c r="CQ187" s="4"/>
      <c r="CR187" s="4"/>
      <c r="CS187" s="4"/>
      <c r="CT187" s="4"/>
      <c r="CU187" s="4"/>
      <c r="CV187" s="4"/>
      <c r="CW187" s="4"/>
      <c r="CX187" s="4"/>
      <c r="CY187" s="4"/>
      <c r="CZ187" s="5"/>
      <c r="DA187" s="5"/>
      <c r="DB187" s="5"/>
      <c r="DC187" s="5"/>
      <c r="DD187" s="5"/>
      <c r="DE187" s="5"/>
      <c r="DF187" s="5"/>
      <c r="DG187" s="5"/>
    </row>
    <row r="188" spans="1:11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I188" s="4"/>
      <c r="CJ188" s="4"/>
      <c r="CK188" s="4"/>
      <c r="CL188" s="4"/>
      <c r="CM188" s="4"/>
      <c r="CN188" s="4"/>
      <c r="CO188" s="4"/>
      <c r="CP188" s="4"/>
      <c r="CQ188" s="4"/>
      <c r="CR188" s="4"/>
      <c r="CS188" s="4"/>
      <c r="CT188" s="4"/>
      <c r="CU188" s="4"/>
      <c r="CV188" s="4"/>
      <c r="CW188" s="4"/>
      <c r="CX188" s="4"/>
      <c r="CY188" s="4"/>
      <c r="CZ188" s="5"/>
      <c r="DA188" s="5"/>
      <c r="DB188" s="5"/>
      <c r="DC188" s="5"/>
      <c r="DD188" s="5"/>
      <c r="DE188" s="5"/>
      <c r="DF188" s="5"/>
      <c r="DG188" s="5"/>
    </row>
    <row r="189" spans="1:11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I189" s="4"/>
      <c r="CJ189" s="4"/>
      <c r="CK189" s="4"/>
      <c r="CL189" s="4"/>
      <c r="CM189" s="4"/>
      <c r="CN189" s="4"/>
      <c r="CO189" s="4"/>
      <c r="CP189" s="4"/>
      <c r="CQ189" s="4"/>
      <c r="CR189" s="4"/>
      <c r="CS189" s="4"/>
      <c r="CT189" s="4"/>
      <c r="CU189" s="4"/>
      <c r="CV189" s="4"/>
      <c r="CW189" s="4"/>
      <c r="CX189" s="4"/>
      <c r="CY189" s="4"/>
      <c r="CZ189" s="5"/>
      <c r="DA189" s="5"/>
      <c r="DB189" s="5"/>
      <c r="DC189" s="5"/>
      <c r="DD189" s="5"/>
      <c r="DE189" s="5"/>
      <c r="DF189" s="5"/>
      <c r="DG189" s="5"/>
    </row>
    <row r="190" spans="1:11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I190" s="4"/>
      <c r="CJ190" s="4"/>
      <c r="CK190" s="4"/>
      <c r="CL190" s="4"/>
      <c r="CM190" s="4"/>
      <c r="CN190" s="4"/>
      <c r="CO190" s="4"/>
      <c r="CP190" s="4"/>
      <c r="CQ190" s="4"/>
      <c r="CR190" s="4"/>
      <c r="CS190" s="4"/>
      <c r="CT190" s="4"/>
      <c r="CU190" s="4"/>
      <c r="CV190" s="4"/>
      <c r="CW190" s="4"/>
      <c r="CX190" s="4"/>
      <c r="CY190" s="4"/>
      <c r="CZ190" s="5"/>
      <c r="DA190" s="5"/>
      <c r="DB190" s="5"/>
      <c r="DC190" s="5"/>
      <c r="DD190" s="5"/>
      <c r="DE190" s="5"/>
      <c r="DF190" s="5"/>
      <c r="DG190" s="5"/>
    </row>
    <row r="191" spans="1:11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I191" s="4"/>
      <c r="CJ191" s="4"/>
      <c r="CK191" s="4"/>
      <c r="CL191" s="4"/>
      <c r="CM191" s="4"/>
      <c r="CN191" s="4"/>
      <c r="CO191" s="4"/>
      <c r="CP191" s="4"/>
      <c r="CQ191" s="4"/>
      <c r="CR191" s="4"/>
      <c r="CS191" s="4"/>
      <c r="CT191" s="4"/>
      <c r="CU191" s="4"/>
      <c r="CV191" s="4"/>
      <c r="CW191" s="4"/>
      <c r="CX191" s="4"/>
      <c r="CY191" s="4"/>
      <c r="CZ191" s="5"/>
      <c r="DA191" s="5"/>
      <c r="DB191" s="5"/>
      <c r="DC191" s="5"/>
      <c r="DD191" s="5"/>
      <c r="DE191" s="5"/>
      <c r="DF191" s="5"/>
      <c r="DG191" s="5"/>
    </row>
    <row r="192" spans="1:11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I192" s="4"/>
      <c r="CJ192" s="4"/>
      <c r="CK192" s="4"/>
      <c r="CL192" s="4"/>
      <c r="CM192" s="4"/>
      <c r="CN192" s="4"/>
      <c r="CO192" s="4"/>
      <c r="CP192" s="4"/>
      <c r="CQ192" s="4"/>
      <c r="CR192" s="4"/>
      <c r="CS192" s="4"/>
      <c r="CT192" s="4"/>
      <c r="CU192" s="4"/>
      <c r="CV192" s="4"/>
      <c r="CW192" s="4"/>
      <c r="CX192" s="4"/>
      <c r="CY192" s="4"/>
      <c r="CZ192" s="5"/>
      <c r="DA192" s="5"/>
      <c r="DB192" s="5"/>
      <c r="DC192" s="5"/>
      <c r="DD192" s="5"/>
      <c r="DE192" s="5"/>
      <c r="DF192" s="5"/>
      <c r="DG192" s="5"/>
    </row>
    <row r="193" spans="1:11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I193" s="4"/>
      <c r="CJ193" s="4"/>
      <c r="CK193" s="4"/>
      <c r="CL193" s="4"/>
      <c r="CM193" s="4"/>
      <c r="CN193" s="4"/>
      <c r="CO193" s="4"/>
      <c r="CP193" s="4"/>
      <c r="CQ193" s="4"/>
      <c r="CR193" s="4"/>
      <c r="CS193" s="4"/>
      <c r="CT193" s="4"/>
      <c r="CU193" s="4"/>
      <c r="CV193" s="4"/>
      <c r="CW193" s="4"/>
      <c r="CX193" s="4"/>
      <c r="CY193" s="4"/>
      <c r="CZ193" s="5"/>
      <c r="DA193" s="5"/>
      <c r="DB193" s="5"/>
      <c r="DC193" s="5"/>
      <c r="DD193" s="5"/>
      <c r="DE193" s="5"/>
      <c r="DF193" s="5"/>
      <c r="DG193" s="5"/>
    </row>
    <row r="194" spans="1:11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I194" s="4"/>
      <c r="CJ194" s="4"/>
      <c r="CK194" s="4"/>
      <c r="CL194" s="4"/>
      <c r="CM194" s="4"/>
      <c r="CN194" s="4"/>
      <c r="CO194" s="4"/>
      <c r="CP194" s="4"/>
      <c r="CQ194" s="4"/>
      <c r="CR194" s="4"/>
      <c r="CS194" s="4"/>
      <c r="CT194" s="4"/>
      <c r="CU194" s="4"/>
      <c r="CV194" s="4"/>
      <c r="CW194" s="4"/>
      <c r="CX194" s="4"/>
      <c r="CY194" s="4"/>
      <c r="CZ194" s="5"/>
      <c r="DA194" s="5"/>
      <c r="DB194" s="5"/>
      <c r="DC194" s="5"/>
      <c r="DD194" s="5"/>
      <c r="DE194" s="5"/>
      <c r="DF194" s="5"/>
      <c r="DG194" s="5"/>
    </row>
    <row r="195" spans="1:11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I195" s="4"/>
      <c r="CJ195" s="4"/>
      <c r="CK195" s="4"/>
      <c r="CL195" s="4"/>
      <c r="CM195" s="4"/>
      <c r="CN195" s="4"/>
      <c r="CO195" s="4"/>
      <c r="CP195" s="4"/>
      <c r="CQ195" s="4"/>
      <c r="CR195" s="4"/>
      <c r="CS195" s="4"/>
      <c r="CT195" s="4"/>
      <c r="CU195" s="4"/>
      <c r="CV195" s="4"/>
      <c r="CW195" s="4"/>
      <c r="CX195" s="4"/>
      <c r="CY195" s="4"/>
      <c r="CZ195" s="5"/>
      <c r="DA195" s="5"/>
      <c r="DB195" s="5"/>
      <c r="DC195" s="5"/>
      <c r="DD195" s="5"/>
      <c r="DE195" s="5"/>
      <c r="DF195" s="5"/>
      <c r="DG195" s="5"/>
    </row>
    <row r="196" spans="1:11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c r="CR196" s="4"/>
      <c r="CS196" s="4"/>
      <c r="CT196" s="4"/>
      <c r="CU196" s="4"/>
      <c r="CV196" s="4"/>
      <c r="CW196" s="4"/>
      <c r="CX196" s="4"/>
      <c r="CY196" s="4"/>
      <c r="CZ196" s="5"/>
      <c r="DA196" s="5"/>
      <c r="DB196" s="5"/>
      <c r="DC196" s="5"/>
      <c r="DD196" s="5"/>
      <c r="DE196" s="5"/>
      <c r="DF196" s="5"/>
      <c r="DG196" s="5"/>
    </row>
    <row r="197" spans="1:11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c r="CR197" s="4"/>
      <c r="CS197" s="4"/>
      <c r="CT197" s="4"/>
      <c r="CU197" s="4"/>
      <c r="CV197" s="4"/>
      <c r="CW197" s="4"/>
      <c r="CX197" s="4"/>
      <c r="CY197" s="4"/>
      <c r="CZ197" s="5"/>
      <c r="DA197" s="5"/>
      <c r="DB197" s="5"/>
      <c r="DC197" s="5"/>
      <c r="DD197" s="5"/>
      <c r="DE197" s="5"/>
      <c r="DF197" s="5"/>
      <c r="DG197" s="5"/>
    </row>
    <row r="198" spans="1:11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c r="CR198" s="4"/>
      <c r="CS198" s="4"/>
      <c r="CT198" s="4"/>
      <c r="CU198" s="4"/>
      <c r="CV198" s="4"/>
      <c r="CW198" s="4"/>
      <c r="CX198" s="4"/>
      <c r="CY198" s="4"/>
      <c r="CZ198" s="5"/>
      <c r="DA198" s="5"/>
      <c r="DB198" s="5"/>
      <c r="DC198" s="5"/>
      <c r="DD198" s="5"/>
      <c r="DE198" s="5"/>
      <c r="DF198" s="5"/>
      <c r="DG198" s="5"/>
    </row>
    <row r="199" spans="1:11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c r="CR199" s="4"/>
      <c r="CS199" s="4"/>
      <c r="CT199" s="4"/>
      <c r="CU199" s="4"/>
      <c r="CV199" s="4"/>
      <c r="CW199" s="4"/>
      <c r="CX199" s="4"/>
      <c r="CY199" s="4"/>
      <c r="CZ199" s="5"/>
      <c r="DA199" s="5"/>
      <c r="DB199" s="5"/>
      <c r="DC199" s="5"/>
      <c r="DD199" s="5"/>
      <c r="DE199" s="5"/>
      <c r="DF199" s="5"/>
      <c r="DG199" s="5"/>
    </row>
    <row r="200" spans="1:11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c r="CR200" s="4"/>
      <c r="CS200" s="4"/>
      <c r="CT200" s="4"/>
      <c r="CU200" s="4"/>
      <c r="CV200" s="4"/>
      <c r="CW200" s="4"/>
      <c r="CX200" s="4"/>
      <c r="CY200" s="4"/>
      <c r="CZ200" s="5"/>
      <c r="DA200" s="5"/>
      <c r="DB200" s="5"/>
      <c r="DC200" s="5"/>
      <c r="DD200" s="5"/>
      <c r="DE200" s="5"/>
      <c r="DF200" s="5"/>
      <c r="DG200" s="5"/>
    </row>
    <row r="201" spans="1:11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c r="CR201" s="4"/>
      <c r="CS201" s="4"/>
      <c r="CT201" s="4"/>
      <c r="CU201" s="4"/>
      <c r="CV201" s="4"/>
      <c r="CW201" s="4"/>
      <c r="CX201" s="4"/>
      <c r="CY201" s="4"/>
      <c r="CZ201" s="5"/>
      <c r="DA201" s="5"/>
      <c r="DB201" s="5"/>
      <c r="DC201" s="5"/>
      <c r="DD201" s="5"/>
      <c r="DE201" s="5"/>
      <c r="DF201" s="5"/>
      <c r="DG201" s="5"/>
    </row>
    <row r="202" spans="1:11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c r="CR202" s="4"/>
      <c r="CS202" s="4"/>
      <c r="CT202" s="4"/>
      <c r="CU202" s="4"/>
      <c r="CV202" s="4"/>
      <c r="CW202" s="4"/>
      <c r="CX202" s="4"/>
      <c r="CY202" s="4"/>
      <c r="CZ202" s="5"/>
      <c r="DA202" s="5"/>
      <c r="DB202" s="5"/>
      <c r="DC202" s="5"/>
      <c r="DD202" s="5"/>
      <c r="DE202" s="5"/>
      <c r="DF202" s="5"/>
      <c r="DG202" s="5"/>
    </row>
    <row r="203" spans="1:11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c r="CR203" s="4"/>
      <c r="CS203" s="4"/>
      <c r="CT203" s="4"/>
      <c r="CU203" s="4"/>
      <c r="CV203" s="4"/>
      <c r="CW203" s="4"/>
      <c r="CX203" s="4"/>
      <c r="CY203" s="4"/>
      <c r="CZ203" s="5"/>
      <c r="DA203" s="5"/>
      <c r="DB203" s="5"/>
      <c r="DC203" s="5"/>
      <c r="DD203" s="5"/>
      <c r="DE203" s="5"/>
      <c r="DF203" s="5"/>
      <c r="DG203" s="5"/>
    </row>
    <row r="204" spans="1:11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c r="CR204" s="4"/>
      <c r="CS204" s="4"/>
      <c r="CT204" s="4"/>
      <c r="CU204" s="4"/>
      <c r="CV204" s="4"/>
      <c r="CW204" s="4"/>
      <c r="CX204" s="4"/>
      <c r="CY204" s="4"/>
      <c r="CZ204" s="5"/>
      <c r="DA204" s="5"/>
      <c r="DB204" s="5"/>
      <c r="DC204" s="5"/>
      <c r="DD204" s="5"/>
      <c r="DE204" s="5"/>
      <c r="DF204" s="5"/>
      <c r="DG204" s="5"/>
    </row>
    <row r="205" spans="1:11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c r="CR205" s="4"/>
      <c r="CS205" s="4"/>
      <c r="CT205" s="4"/>
      <c r="CU205" s="4"/>
      <c r="CV205" s="4"/>
      <c r="CW205" s="4"/>
      <c r="CX205" s="4"/>
      <c r="CY205" s="4"/>
      <c r="CZ205" s="5"/>
      <c r="DA205" s="5"/>
      <c r="DB205" s="5"/>
      <c r="DC205" s="5"/>
      <c r="DD205" s="5"/>
      <c r="DE205" s="5"/>
      <c r="DF205" s="5"/>
      <c r="DG205" s="5"/>
    </row>
    <row r="206" spans="1:11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c r="CR206" s="4"/>
      <c r="CS206" s="4"/>
      <c r="CT206" s="4"/>
      <c r="CU206" s="4"/>
      <c r="CV206" s="4"/>
      <c r="CW206" s="4"/>
      <c r="CX206" s="4"/>
      <c r="CY206" s="4"/>
      <c r="CZ206" s="5"/>
      <c r="DA206" s="5"/>
      <c r="DB206" s="5"/>
      <c r="DC206" s="5"/>
      <c r="DD206" s="5"/>
      <c r="DE206" s="5"/>
      <c r="DF206" s="5"/>
      <c r="DG206" s="5"/>
    </row>
    <row r="207" spans="1:11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c r="CR207" s="4"/>
      <c r="CS207" s="4"/>
      <c r="CT207" s="4"/>
      <c r="CU207" s="4"/>
      <c r="CV207" s="4"/>
      <c r="CW207" s="4"/>
      <c r="CX207" s="4"/>
      <c r="CY207" s="4"/>
      <c r="CZ207" s="5"/>
      <c r="DA207" s="5"/>
      <c r="DB207" s="5"/>
      <c r="DC207" s="5"/>
      <c r="DD207" s="5"/>
      <c r="DE207" s="5"/>
      <c r="DF207" s="5"/>
      <c r="DG207" s="5"/>
    </row>
    <row r="208" spans="1:11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c r="CR208" s="4"/>
      <c r="CS208" s="4"/>
      <c r="CT208" s="4"/>
      <c r="CU208" s="4"/>
      <c r="CV208" s="4"/>
      <c r="CW208" s="4"/>
      <c r="CX208" s="4"/>
      <c r="CY208" s="4"/>
      <c r="CZ208" s="5"/>
      <c r="DA208" s="5"/>
      <c r="DB208" s="5"/>
      <c r="DC208" s="5"/>
      <c r="DD208" s="5"/>
      <c r="DE208" s="5"/>
      <c r="DF208" s="5"/>
      <c r="DG208" s="5"/>
    </row>
    <row r="209" spans="1:11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c r="CR209" s="4"/>
      <c r="CS209" s="4"/>
      <c r="CT209" s="4"/>
      <c r="CU209" s="4"/>
      <c r="CV209" s="4"/>
      <c r="CW209" s="4"/>
      <c r="CX209" s="4"/>
      <c r="CY209" s="4"/>
      <c r="CZ209" s="5"/>
      <c r="DA209" s="5"/>
      <c r="DB209" s="5"/>
      <c r="DC209" s="5"/>
      <c r="DD209" s="5"/>
      <c r="DE209" s="5"/>
      <c r="DF209" s="5"/>
      <c r="DG209" s="5"/>
    </row>
    <row r="210" spans="1:11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c r="CR210" s="4"/>
      <c r="CS210" s="4"/>
      <c r="CT210" s="4"/>
      <c r="CU210" s="4"/>
      <c r="CV210" s="4"/>
      <c r="CW210" s="4"/>
      <c r="CX210" s="4"/>
      <c r="CY210" s="4"/>
      <c r="CZ210" s="5"/>
      <c r="DA210" s="5"/>
      <c r="DB210" s="5"/>
      <c r="DC210" s="5"/>
      <c r="DD210" s="5"/>
      <c r="DE210" s="5"/>
      <c r="DF210" s="5"/>
      <c r="DG210" s="5"/>
    </row>
    <row r="211" spans="1:11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c r="CR211" s="4"/>
      <c r="CS211" s="4"/>
      <c r="CT211" s="4"/>
      <c r="CU211" s="4"/>
      <c r="CV211" s="4"/>
      <c r="CW211" s="4"/>
      <c r="CX211" s="4"/>
      <c r="CY211" s="4"/>
      <c r="CZ211" s="5"/>
      <c r="DA211" s="5"/>
      <c r="DB211" s="5"/>
      <c r="DC211" s="5"/>
      <c r="DD211" s="5"/>
      <c r="DE211" s="5"/>
      <c r="DF211" s="5"/>
      <c r="DG211" s="5"/>
    </row>
    <row r="212" spans="1:11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c r="CR212" s="4"/>
      <c r="CS212" s="4"/>
      <c r="CT212" s="4"/>
      <c r="CU212" s="4"/>
      <c r="CV212" s="4"/>
      <c r="CW212" s="4"/>
      <c r="CX212" s="4"/>
      <c r="CY212" s="4"/>
      <c r="CZ212" s="5"/>
      <c r="DA212" s="5"/>
      <c r="DB212" s="5"/>
      <c r="DC212" s="5"/>
      <c r="DD212" s="5"/>
      <c r="DE212" s="5"/>
      <c r="DF212" s="5"/>
      <c r="DG212" s="5"/>
    </row>
    <row r="213" spans="1:11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c r="CR213" s="4"/>
      <c r="CS213" s="4"/>
      <c r="CT213" s="4"/>
      <c r="CU213" s="4"/>
      <c r="CV213" s="4"/>
      <c r="CW213" s="4"/>
      <c r="CX213" s="4"/>
      <c r="CY213" s="4"/>
      <c r="CZ213" s="5"/>
      <c r="DA213" s="5"/>
      <c r="DB213" s="5"/>
      <c r="DC213" s="5"/>
      <c r="DD213" s="5"/>
      <c r="DE213" s="5"/>
      <c r="DF213" s="5"/>
      <c r="DG213" s="5"/>
    </row>
    <row r="214" spans="1:11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c r="CR214" s="4"/>
      <c r="CS214" s="4"/>
      <c r="CT214" s="4"/>
      <c r="CU214" s="4"/>
      <c r="CV214" s="4"/>
      <c r="CW214" s="4"/>
      <c r="CX214" s="4"/>
      <c r="CY214" s="4"/>
      <c r="CZ214" s="5"/>
      <c r="DA214" s="5"/>
      <c r="DB214" s="5"/>
      <c r="DC214" s="5"/>
      <c r="DD214" s="5"/>
      <c r="DE214" s="5"/>
      <c r="DF214" s="5"/>
      <c r="DG214" s="5"/>
    </row>
    <row r="215" spans="1:11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c r="CR215" s="4"/>
      <c r="CS215" s="4"/>
      <c r="CT215" s="4"/>
      <c r="CU215" s="4"/>
      <c r="CV215" s="4"/>
      <c r="CW215" s="4"/>
      <c r="CX215" s="4"/>
      <c r="CY215" s="4"/>
      <c r="CZ215" s="5"/>
      <c r="DA215" s="5"/>
      <c r="DB215" s="5"/>
      <c r="DC215" s="5"/>
      <c r="DD215" s="5"/>
      <c r="DE215" s="5"/>
      <c r="DF215" s="5"/>
      <c r="DG215" s="5"/>
    </row>
    <row r="216" spans="1:11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c r="CR216" s="4"/>
      <c r="CS216" s="4"/>
      <c r="CT216" s="4"/>
      <c r="CU216" s="4"/>
      <c r="CV216" s="4"/>
      <c r="CW216" s="4"/>
      <c r="CX216" s="4"/>
      <c r="CY216" s="4"/>
      <c r="CZ216" s="5"/>
      <c r="DA216" s="5"/>
      <c r="DB216" s="5"/>
      <c r="DC216" s="5"/>
      <c r="DD216" s="5"/>
      <c r="DE216" s="5"/>
      <c r="DF216" s="5"/>
      <c r="DG216" s="5"/>
    </row>
    <row r="217" spans="1:11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c r="CR217" s="4"/>
      <c r="CS217" s="4"/>
      <c r="CT217" s="4"/>
      <c r="CU217" s="4"/>
      <c r="CV217" s="4"/>
      <c r="CW217" s="4"/>
      <c r="CX217" s="4"/>
      <c r="CY217" s="4"/>
      <c r="CZ217" s="5"/>
      <c r="DA217" s="5"/>
      <c r="DB217" s="5"/>
      <c r="DC217" s="5"/>
      <c r="DD217" s="5"/>
      <c r="DE217" s="5"/>
      <c r="DF217" s="5"/>
      <c r="DG217" s="5"/>
    </row>
    <row r="218" spans="1:11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c r="CR218" s="4"/>
      <c r="CS218" s="4"/>
      <c r="CT218" s="4"/>
      <c r="CU218" s="4"/>
      <c r="CV218" s="4"/>
      <c r="CW218" s="4"/>
      <c r="CX218" s="4"/>
      <c r="CY218" s="4"/>
      <c r="CZ218" s="5"/>
      <c r="DA218" s="5"/>
      <c r="DB218" s="5"/>
      <c r="DC218" s="5"/>
      <c r="DD218" s="5"/>
      <c r="DE218" s="5"/>
      <c r="DF218" s="5"/>
      <c r="DG218" s="5"/>
    </row>
    <row r="219" spans="1:11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c r="CR219" s="4"/>
      <c r="CS219" s="4"/>
      <c r="CT219" s="4"/>
      <c r="CU219" s="4"/>
      <c r="CV219" s="4"/>
      <c r="CW219" s="4"/>
      <c r="CX219" s="4"/>
      <c r="CY219" s="4"/>
      <c r="CZ219" s="5"/>
      <c r="DA219" s="5"/>
      <c r="DB219" s="5"/>
      <c r="DC219" s="5"/>
      <c r="DD219" s="5"/>
      <c r="DE219" s="5"/>
      <c r="DF219" s="5"/>
      <c r="DG219" s="5"/>
    </row>
    <row r="220" spans="1:11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c r="CR220" s="4"/>
      <c r="CS220" s="4"/>
      <c r="CT220" s="4"/>
      <c r="CU220" s="4"/>
      <c r="CV220" s="4"/>
      <c r="CW220" s="4"/>
      <c r="CX220" s="4"/>
      <c r="CY220" s="4"/>
      <c r="CZ220" s="5"/>
      <c r="DA220" s="5"/>
      <c r="DB220" s="5"/>
      <c r="DC220" s="5"/>
      <c r="DD220" s="5"/>
      <c r="DE220" s="5"/>
      <c r="DF220" s="5"/>
      <c r="DG220" s="5"/>
    </row>
    <row r="221" spans="1:11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c r="CR221" s="4"/>
      <c r="CS221" s="4"/>
      <c r="CT221" s="4"/>
      <c r="CU221" s="4"/>
      <c r="CV221" s="4"/>
      <c r="CW221" s="4"/>
      <c r="CX221" s="4"/>
      <c r="CY221" s="4"/>
      <c r="CZ221" s="5"/>
      <c r="DA221" s="5"/>
      <c r="DB221" s="5"/>
      <c r="DC221" s="5"/>
      <c r="DD221" s="5"/>
      <c r="DE221" s="5"/>
      <c r="DF221" s="5"/>
      <c r="DG221" s="5"/>
    </row>
    <row r="222" spans="1:11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c r="CR222" s="4"/>
      <c r="CS222" s="4"/>
      <c r="CT222" s="4"/>
      <c r="CU222" s="4"/>
      <c r="CV222" s="4"/>
      <c r="CW222" s="4"/>
      <c r="CX222" s="4"/>
      <c r="CY222" s="4"/>
      <c r="CZ222" s="5"/>
      <c r="DA222" s="5"/>
      <c r="DB222" s="5"/>
      <c r="DC222" s="5"/>
      <c r="DD222" s="5"/>
      <c r="DE222" s="5"/>
      <c r="DF222" s="5"/>
      <c r="DG222" s="5"/>
    </row>
    <row r="223" spans="1:11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c r="CR223" s="4"/>
      <c r="CS223" s="4"/>
      <c r="CT223" s="4"/>
      <c r="CU223" s="4"/>
      <c r="CV223" s="4"/>
      <c r="CW223" s="4"/>
      <c r="CX223" s="4"/>
      <c r="CY223" s="4"/>
      <c r="CZ223" s="5"/>
      <c r="DA223" s="5"/>
      <c r="DB223" s="5"/>
      <c r="DC223" s="5"/>
      <c r="DD223" s="5"/>
      <c r="DE223" s="5"/>
      <c r="DF223" s="5"/>
      <c r="DG223" s="5"/>
    </row>
    <row r="224" spans="1:11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c r="CR224" s="4"/>
      <c r="CS224" s="4"/>
      <c r="CT224" s="4"/>
      <c r="CU224" s="4"/>
      <c r="CV224" s="4"/>
      <c r="CW224" s="4"/>
      <c r="CX224" s="4"/>
      <c r="CY224" s="4"/>
      <c r="CZ224" s="5"/>
      <c r="DA224" s="5"/>
      <c r="DB224" s="5"/>
      <c r="DC224" s="5"/>
      <c r="DD224" s="5"/>
      <c r="DE224" s="5"/>
      <c r="DF224" s="5"/>
      <c r="DG224" s="5"/>
    </row>
    <row r="225" spans="1:11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c r="CR225" s="4"/>
      <c r="CS225" s="4"/>
      <c r="CT225" s="4"/>
      <c r="CU225" s="4"/>
      <c r="CV225" s="4"/>
      <c r="CW225" s="4"/>
      <c r="CX225" s="4"/>
      <c r="CY225" s="4"/>
      <c r="CZ225" s="5"/>
      <c r="DA225" s="5"/>
      <c r="DB225" s="5"/>
      <c r="DC225" s="5"/>
      <c r="DD225" s="5"/>
      <c r="DE225" s="5"/>
      <c r="DF225" s="5"/>
      <c r="DG225" s="5"/>
    </row>
    <row r="226" spans="1:11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c r="CR226" s="4"/>
      <c r="CS226" s="4"/>
      <c r="CT226" s="4"/>
      <c r="CU226" s="4"/>
      <c r="CV226" s="4"/>
      <c r="CW226" s="4"/>
      <c r="CX226" s="4"/>
      <c r="CY226" s="4"/>
      <c r="CZ226" s="5"/>
      <c r="DA226" s="5"/>
      <c r="DB226" s="5"/>
      <c r="DC226" s="5"/>
      <c r="DD226" s="5"/>
      <c r="DE226" s="5"/>
      <c r="DF226" s="5"/>
      <c r="DG226" s="5"/>
    </row>
    <row r="227" spans="1:11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c r="CR227" s="4"/>
      <c r="CS227" s="4"/>
      <c r="CT227" s="4"/>
      <c r="CU227" s="4"/>
      <c r="CV227" s="4"/>
      <c r="CW227" s="4"/>
      <c r="CX227" s="4"/>
      <c r="CY227" s="4"/>
      <c r="CZ227" s="5"/>
      <c r="DA227" s="5"/>
      <c r="DB227" s="5"/>
      <c r="DC227" s="5"/>
      <c r="DD227" s="5"/>
      <c r="DE227" s="5"/>
      <c r="DF227" s="5"/>
      <c r="DG227" s="5"/>
    </row>
    <row r="228" spans="1:11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c r="CR228" s="4"/>
      <c r="CS228" s="4"/>
      <c r="CT228" s="4"/>
      <c r="CU228" s="4"/>
      <c r="CV228" s="4"/>
      <c r="CW228" s="4"/>
      <c r="CX228" s="4"/>
      <c r="CY228" s="4"/>
      <c r="CZ228" s="5"/>
      <c r="DA228" s="5"/>
      <c r="DB228" s="5"/>
      <c r="DC228" s="5"/>
      <c r="DD228" s="5"/>
      <c r="DE228" s="5"/>
      <c r="DF228" s="5"/>
      <c r="DG228" s="5"/>
    </row>
    <row r="229" spans="1:11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c r="CR229" s="4"/>
      <c r="CS229" s="4"/>
      <c r="CT229" s="4"/>
      <c r="CU229" s="4"/>
      <c r="CV229" s="4"/>
      <c r="CW229" s="4"/>
      <c r="CX229" s="4"/>
      <c r="CY229" s="4"/>
      <c r="CZ229" s="5"/>
      <c r="DA229" s="5"/>
      <c r="DB229" s="5"/>
      <c r="DC229" s="5"/>
      <c r="DD229" s="5"/>
      <c r="DE229" s="5"/>
      <c r="DF229" s="5"/>
      <c r="DG229" s="5"/>
    </row>
    <row r="230" spans="1:11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c r="CR230" s="4"/>
      <c r="CS230" s="4"/>
      <c r="CT230" s="4"/>
      <c r="CU230" s="4"/>
      <c r="CV230" s="4"/>
      <c r="CW230" s="4"/>
      <c r="CX230" s="4"/>
      <c r="CY230" s="4"/>
      <c r="CZ230" s="5"/>
      <c r="DA230" s="5"/>
      <c r="DB230" s="5"/>
      <c r="DC230" s="5"/>
      <c r="DD230" s="5"/>
      <c r="DE230" s="5"/>
      <c r="DF230" s="5"/>
      <c r="DG230" s="5"/>
    </row>
    <row r="231" spans="1:11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c r="CR231" s="4"/>
      <c r="CS231" s="4"/>
      <c r="CT231" s="4"/>
      <c r="CU231" s="4"/>
      <c r="CV231" s="4"/>
      <c r="CW231" s="4"/>
      <c r="CX231" s="4"/>
      <c r="CY231" s="4"/>
      <c r="CZ231" s="5"/>
      <c r="DA231" s="5"/>
      <c r="DB231" s="5"/>
      <c r="DC231" s="5"/>
      <c r="DD231" s="5"/>
      <c r="DE231" s="5"/>
      <c r="DF231" s="5"/>
      <c r="DG231" s="5"/>
    </row>
    <row r="232" spans="1:11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c r="CR232" s="4"/>
      <c r="CS232" s="4"/>
      <c r="CT232" s="4"/>
      <c r="CU232" s="4"/>
      <c r="CV232" s="4"/>
      <c r="CW232" s="4"/>
      <c r="CX232" s="4"/>
      <c r="CY232" s="4"/>
      <c r="CZ232" s="5"/>
      <c r="DA232" s="5"/>
      <c r="DB232" s="5"/>
      <c r="DC232" s="5"/>
      <c r="DD232" s="5"/>
      <c r="DE232" s="5"/>
      <c r="DF232" s="5"/>
      <c r="DG232" s="5"/>
    </row>
    <row r="233" spans="1:11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c r="CR233" s="4"/>
      <c r="CS233" s="4"/>
      <c r="CT233" s="4"/>
      <c r="CU233" s="4"/>
      <c r="CV233" s="4"/>
      <c r="CW233" s="4"/>
      <c r="CX233" s="4"/>
      <c r="CY233" s="4"/>
      <c r="CZ233" s="5"/>
      <c r="DA233" s="5"/>
      <c r="DB233" s="5"/>
      <c r="DC233" s="5"/>
      <c r="DD233" s="5"/>
      <c r="DE233" s="5"/>
      <c r="DF233" s="5"/>
      <c r="DG233" s="5"/>
    </row>
    <row r="234" spans="1:11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c r="CR234" s="4"/>
      <c r="CS234" s="4"/>
      <c r="CT234" s="4"/>
      <c r="CU234" s="4"/>
      <c r="CV234" s="4"/>
      <c r="CW234" s="4"/>
      <c r="CX234" s="4"/>
      <c r="CY234" s="4"/>
      <c r="CZ234" s="5"/>
      <c r="DA234" s="5"/>
      <c r="DB234" s="5"/>
      <c r="DC234" s="5"/>
      <c r="DD234" s="5"/>
      <c r="DE234" s="5"/>
      <c r="DF234" s="5"/>
      <c r="DG234" s="5"/>
    </row>
    <row r="235" spans="1:11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c r="CR235" s="4"/>
      <c r="CS235" s="4"/>
      <c r="CT235" s="4"/>
      <c r="CU235" s="4"/>
      <c r="CV235" s="4"/>
      <c r="CW235" s="4"/>
      <c r="CX235" s="4"/>
      <c r="CY235" s="4"/>
      <c r="CZ235" s="5"/>
      <c r="DA235" s="5"/>
      <c r="DB235" s="5"/>
      <c r="DC235" s="5"/>
      <c r="DD235" s="5"/>
      <c r="DE235" s="5"/>
      <c r="DF235" s="5"/>
      <c r="DG235" s="5"/>
    </row>
    <row r="236" spans="1:11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c r="CR236" s="4"/>
      <c r="CS236" s="4"/>
      <c r="CT236" s="4"/>
      <c r="CU236" s="4"/>
      <c r="CV236" s="4"/>
      <c r="CW236" s="4"/>
      <c r="CX236" s="4"/>
      <c r="CY236" s="4"/>
      <c r="CZ236" s="5"/>
      <c r="DA236" s="5"/>
      <c r="DB236" s="5"/>
      <c r="DC236" s="5"/>
      <c r="DD236" s="5"/>
      <c r="DE236" s="5"/>
      <c r="DF236" s="5"/>
      <c r="DG236" s="5"/>
    </row>
    <row r="237" spans="1:11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c r="CR237" s="4"/>
      <c r="CS237" s="4"/>
      <c r="CT237" s="4"/>
      <c r="CU237" s="4"/>
      <c r="CV237" s="4"/>
      <c r="CW237" s="4"/>
      <c r="CX237" s="4"/>
      <c r="CY237" s="4"/>
      <c r="CZ237" s="5"/>
      <c r="DA237" s="5"/>
      <c r="DB237" s="5"/>
      <c r="DC237" s="5"/>
      <c r="DD237" s="5"/>
      <c r="DE237" s="5"/>
      <c r="DF237" s="5"/>
      <c r="DG237" s="5"/>
    </row>
    <row r="238" spans="1:11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c r="CR238" s="4"/>
      <c r="CS238" s="4"/>
      <c r="CT238" s="4"/>
      <c r="CU238" s="4"/>
      <c r="CV238" s="4"/>
      <c r="CW238" s="4"/>
      <c r="CX238" s="4"/>
      <c r="CY238" s="4"/>
      <c r="CZ238" s="5"/>
      <c r="DA238" s="5"/>
      <c r="DB238" s="5"/>
      <c r="DC238" s="5"/>
      <c r="DD238" s="5"/>
      <c r="DE238" s="5"/>
      <c r="DF238" s="5"/>
      <c r="DG238" s="5"/>
    </row>
    <row r="239" spans="1:11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c r="CR239" s="4"/>
      <c r="CS239" s="4"/>
      <c r="CT239" s="4"/>
      <c r="CU239" s="4"/>
      <c r="CV239" s="4"/>
      <c r="CW239" s="4"/>
      <c r="CX239" s="4"/>
      <c r="CY239" s="4"/>
      <c r="CZ239" s="5"/>
      <c r="DA239" s="5"/>
      <c r="DB239" s="5"/>
      <c r="DC239" s="5"/>
      <c r="DD239" s="5"/>
      <c r="DE239" s="5"/>
      <c r="DF239" s="5"/>
      <c r="DG239" s="5"/>
    </row>
    <row r="240" spans="1:11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c r="CR240" s="4"/>
      <c r="CS240" s="4"/>
      <c r="CT240" s="4"/>
      <c r="CU240" s="4"/>
      <c r="CV240" s="4"/>
      <c r="CW240" s="4"/>
      <c r="CX240" s="4"/>
      <c r="CY240" s="4"/>
      <c r="CZ240" s="5"/>
      <c r="DA240" s="5"/>
      <c r="DB240" s="5"/>
      <c r="DC240" s="5"/>
      <c r="DD240" s="5"/>
      <c r="DE240" s="5"/>
      <c r="DF240" s="5"/>
      <c r="DG240" s="5"/>
    </row>
    <row r="241" spans="1:11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c r="CR241" s="4"/>
      <c r="CS241" s="4"/>
      <c r="CT241" s="4"/>
      <c r="CU241" s="4"/>
      <c r="CV241" s="4"/>
      <c r="CW241" s="4"/>
      <c r="CX241" s="4"/>
      <c r="CY241" s="4"/>
      <c r="CZ241" s="5"/>
      <c r="DA241" s="5"/>
      <c r="DB241" s="5"/>
      <c r="DC241" s="5"/>
      <c r="DD241" s="5"/>
      <c r="DE241" s="5"/>
      <c r="DF241" s="5"/>
      <c r="DG241" s="5"/>
    </row>
    <row r="242" spans="1:11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c r="CR242" s="4"/>
      <c r="CS242" s="4"/>
      <c r="CT242" s="4"/>
      <c r="CU242" s="4"/>
      <c r="CV242" s="4"/>
      <c r="CW242" s="4"/>
      <c r="CX242" s="4"/>
      <c r="CY242" s="4"/>
      <c r="CZ242" s="5"/>
      <c r="DA242" s="5"/>
      <c r="DB242" s="5"/>
      <c r="DC242" s="5"/>
      <c r="DD242" s="5"/>
      <c r="DE242" s="5"/>
      <c r="DF242" s="5"/>
      <c r="DG242" s="5"/>
    </row>
    <row r="243" spans="1:111" x14ac:dyDescent="0.2">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c r="CR243" s="4"/>
      <c r="CS243" s="4"/>
      <c r="CT243" s="4"/>
      <c r="CU243" s="4"/>
      <c r="CV243" s="4"/>
      <c r="CW243" s="4"/>
      <c r="CX243" s="4"/>
      <c r="CY243" s="4"/>
      <c r="CZ243" s="5"/>
      <c r="DA243" s="5"/>
      <c r="DB243" s="5"/>
      <c r="DC243" s="5"/>
      <c r="DD243" s="5"/>
      <c r="DE243" s="5"/>
      <c r="DF243" s="5"/>
      <c r="DG243" s="5"/>
    </row>
    <row r="244" spans="1:111" x14ac:dyDescent="0.2">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c r="CR244" s="4"/>
      <c r="CS244" s="4"/>
      <c r="CT244" s="4"/>
      <c r="CU244" s="4"/>
      <c r="CV244" s="4"/>
      <c r="CW244" s="4"/>
      <c r="CX244" s="4"/>
      <c r="CY244" s="4"/>
      <c r="CZ244" s="5"/>
      <c r="DA244" s="5"/>
      <c r="DB244" s="5"/>
      <c r="DC244" s="5"/>
      <c r="DD244" s="5"/>
      <c r="DE244" s="5"/>
      <c r="DF244" s="5"/>
      <c r="DG244" s="5"/>
    </row>
    <row r="245" spans="1:111" x14ac:dyDescent="0.2">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c r="CR245" s="4"/>
      <c r="CS245" s="4"/>
      <c r="CT245" s="4"/>
      <c r="CU245" s="4"/>
      <c r="CV245" s="4"/>
      <c r="CW245" s="4"/>
      <c r="CX245" s="4"/>
      <c r="CY245" s="4"/>
      <c r="CZ245" s="5"/>
      <c r="DA245" s="5"/>
      <c r="DB245" s="5"/>
      <c r="DC245" s="5"/>
      <c r="DD245" s="5"/>
      <c r="DE245" s="5"/>
      <c r="DF245" s="5"/>
      <c r="DG245" s="5"/>
    </row>
    <row r="246" spans="1:111" x14ac:dyDescent="0.2">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c r="CR246" s="4"/>
      <c r="CS246" s="4"/>
      <c r="CT246" s="4"/>
      <c r="CU246" s="4"/>
      <c r="CV246" s="4"/>
      <c r="CW246" s="4"/>
      <c r="CX246" s="4"/>
      <c r="CY246" s="4"/>
      <c r="CZ246" s="5"/>
      <c r="DA246" s="5"/>
      <c r="DB246" s="5"/>
      <c r="DC246" s="5"/>
      <c r="DD246" s="5"/>
      <c r="DE246" s="5"/>
      <c r="DF246" s="5"/>
      <c r="DG246" s="5"/>
    </row>
    <row r="247" spans="1:111" x14ac:dyDescent="0.2">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c r="CR247" s="4"/>
      <c r="CS247" s="4"/>
      <c r="CT247" s="4"/>
      <c r="CU247" s="4"/>
      <c r="CV247" s="4"/>
      <c r="CW247" s="4"/>
      <c r="CX247" s="4"/>
      <c r="CY247" s="4"/>
      <c r="CZ247" s="5"/>
      <c r="DA247" s="5"/>
      <c r="DB247" s="5"/>
      <c r="DC247" s="5"/>
      <c r="DD247" s="5"/>
      <c r="DE247" s="5"/>
      <c r="DF247" s="5"/>
      <c r="DG247" s="5"/>
    </row>
    <row r="248" spans="1:111" x14ac:dyDescent="0.2">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5"/>
      <c r="DA248" s="5"/>
      <c r="DB248" s="5"/>
      <c r="DC248" s="5"/>
      <c r="DD248" s="5"/>
      <c r="DE248" s="5"/>
      <c r="DF248" s="5"/>
      <c r="DG248" s="5"/>
    </row>
    <row r="249" spans="1:111" x14ac:dyDescent="0.2">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c r="CR249" s="4"/>
      <c r="CS249" s="4"/>
      <c r="CT249" s="4"/>
      <c r="CU249" s="4"/>
      <c r="CV249" s="4"/>
      <c r="CW249" s="4"/>
      <c r="CX249" s="4"/>
      <c r="CY249" s="4"/>
      <c r="CZ249" s="5"/>
      <c r="DA249" s="5"/>
      <c r="DB249" s="5"/>
      <c r="DC249" s="5"/>
      <c r="DD249" s="5"/>
      <c r="DE249" s="5"/>
      <c r="DF249" s="5"/>
      <c r="DG249" s="5"/>
    </row>
    <row r="250" spans="1:111" x14ac:dyDescent="0.2">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5"/>
      <c r="DA250" s="5"/>
      <c r="DB250" s="5"/>
      <c r="DC250" s="5"/>
      <c r="DD250" s="5"/>
      <c r="DE250" s="5"/>
      <c r="DF250" s="5"/>
      <c r="DG250" s="5"/>
    </row>
    <row r="251" spans="1:111" x14ac:dyDescent="0.2">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c r="CR251" s="4"/>
      <c r="CS251" s="4"/>
      <c r="CT251" s="4"/>
      <c r="CU251" s="4"/>
      <c r="CV251" s="4"/>
      <c r="CW251" s="4"/>
      <c r="CX251" s="4"/>
      <c r="CY251" s="4"/>
      <c r="CZ251" s="5"/>
      <c r="DA251" s="5"/>
      <c r="DB251" s="5"/>
      <c r="DC251" s="5"/>
      <c r="DD251" s="5"/>
      <c r="DE251" s="5"/>
      <c r="DF251" s="5"/>
      <c r="DG251" s="5"/>
    </row>
    <row r="252" spans="1:111" x14ac:dyDescent="0.2">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5"/>
      <c r="DA252" s="5"/>
      <c r="DB252" s="5"/>
      <c r="DC252" s="5"/>
      <c r="DD252" s="5"/>
      <c r="DE252" s="5"/>
      <c r="DF252" s="5"/>
      <c r="DG252" s="5"/>
    </row>
    <row r="253" spans="1:111" x14ac:dyDescent="0.2">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c r="CR253" s="4"/>
      <c r="CS253" s="4"/>
      <c r="CT253" s="4"/>
      <c r="CU253" s="4"/>
      <c r="CV253" s="4"/>
      <c r="CW253" s="4"/>
      <c r="CX253" s="4"/>
      <c r="CY253" s="4"/>
      <c r="CZ253" s="5"/>
      <c r="DA253" s="5"/>
      <c r="DB253" s="5"/>
      <c r="DC253" s="5"/>
      <c r="DD253" s="5"/>
      <c r="DE253" s="5"/>
      <c r="DF253" s="5"/>
      <c r="DG253" s="5"/>
    </row>
    <row r="254" spans="1:111" x14ac:dyDescent="0.2">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c r="CR254" s="4"/>
      <c r="CS254" s="4"/>
      <c r="CT254" s="4"/>
      <c r="CU254" s="4"/>
      <c r="CV254" s="4"/>
      <c r="CW254" s="4"/>
      <c r="CX254" s="4"/>
      <c r="CY254" s="4"/>
      <c r="CZ254" s="5"/>
      <c r="DA254" s="5"/>
      <c r="DB254" s="5"/>
      <c r="DC254" s="5"/>
      <c r="DD254" s="5"/>
      <c r="DE254" s="5"/>
      <c r="DF254" s="5"/>
      <c r="DG254" s="5"/>
    </row>
    <row r="255" spans="1:111" x14ac:dyDescent="0.2">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c r="CR255" s="4"/>
      <c r="CS255" s="4"/>
      <c r="CT255" s="4"/>
      <c r="CU255" s="4"/>
      <c r="CV255" s="4"/>
      <c r="CW255" s="4"/>
      <c r="CX255" s="4"/>
      <c r="CY255" s="4"/>
      <c r="CZ255" s="5"/>
      <c r="DA255" s="5"/>
      <c r="DB255" s="5"/>
      <c r="DC255" s="5"/>
      <c r="DD255" s="5"/>
      <c r="DE255" s="5"/>
      <c r="DF255" s="5"/>
      <c r="DG255" s="5"/>
    </row>
    <row r="256" spans="1:111" x14ac:dyDescent="0.2">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c r="CR256" s="4"/>
      <c r="CS256" s="4"/>
      <c r="CT256" s="4"/>
      <c r="CU256" s="4"/>
      <c r="CV256" s="4"/>
      <c r="CW256" s="4"/>
      <c r="CX256" s="4"/>
      <c r="CY256" s="4"/>
      <c r="CZ256" s="5"/>
      <c r="DA256" s="5"/>
      <c r="DB256" s="5"/>
      <c r="DC256" s="5"/>
      <c r="DD256" s="5"/>
      <c r="DE256" s="5"/>
      <c r="DF256" s="5"/>
      <c r="DG256" s="5"/>
    </row>
    <row r="257" spans="1:111" x14ac:dyDescent="0.2">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c r="CR257" s="4"/>
      <c r="CS257" s="4"/>
      <c r="CT257" s="4"/>
      <c r="CU257" s="4"/>
      <c r="CV257" s="4"/>
      <c r="CW257" s="4"/>
      <c r="CX257" s="4"/>
      <c r="CY257" s="4"/>
      <c r="CZ257" s="5"/>
      <c r="DA257" s="5"/>
      <c r="DB257" s="5"/>
      <c r="DC257" s="5"/>
      <c r="DD257" s="5"/>
      <c r="DE257" s="5"/>
      <c r="DF257" s="5"/>
      <c r="DG257" s="5"/>
    </row>
    <row r="258" spans="1:111" x14ac:dyDescent="0.2">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c r="CR258" s="4"/>
      <c r="CS258" s="4"/>
      <c r="CT258" s="4"/>
      <c r="CU258" s="4"/>
      <c r="CV258" s="4"/>
      <c r="CW258" s="4"/>
      <c r="CX258" s="4"/>
      <c r="CY258" s="4"/>
      <c r="CZ258" s="5"/>
      <c r="DA258" s="5"/>
      <c r="DB258" s="5"/>
      <c r="DC258" s="5"/>
      <c r="DD258" s="5"/>
      <c r="DE258" s="5"/>
      <c r="DF258" s="5"/>
      <c r="DG258" s="5"/>
    </row>
    <row r="259" spans="1:111" x14ac:dyDescent="0.2">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c r="CR259" s="4"/>
      <c r="CS259" s="4"/>
      <c r="CT259" s="4"/>
      <c r="CU259" s="4"/>
      <c r="CV259" s="4"/>
      <c r="CW259" s="4"/>
      <c r="CX259" s="4"/>
      <c r="CY259" s="4"/>
      <c r="CZ259" s="5"/>
      <c r="DA259" s="5"/>
      <c r="DB259" s="5"/>
      <c r="DC259" s="5"/>
      <c r="DD259" s="5"/>
      <c r="DE259" s="5"/>
      <c r="DF259" s="5"/>
      <c r="DG259" s="5"/>
    </row>
    <row r="260" spans="1:111" x14ac:dyDescent="0.2">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c r="CR260" s="4"/>
      <c r="CS260" s="4"/>
      <c r="CT260" s="4"/>
      <c r="CU260" s="4"/>
      <c r="CV260" s="4"/>
      <c r="CW260" s="4"/>
      <c r="CX260" s="4"/>
      <c r="CY260" s="4"/>
      <c r="CZ260" s="5"/>
      <c r="DA260" s="5"/>
      <c r="DB260" s="5"/>
      <c r="DC260" s="5"/>
      <c r="DD260" s="5"/>
      <c r="DE260" s="5"/>
      <c r="DF260" s="5"/>
      <c r="DG260" s="5"/>
    </row>
    <row r="261" spans="1:111" x14ac:dyDescent="0.2">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c r="CR261" s="4"/>
      <c r="CS261" s="4"/>
      <c r="CT261" s="4"/>
      <c r="CU261" s="4"/>
      <c r="CV261" s="4"/>
      <c r="CW261" s="4"/>
      <c r="CX261" s="4"/>
      <c r="CY261" s="4"/>
      <c r="CZ261" s="5"/>
      <c r="DA261" s="5"/>
      <c r="DB261" s="5"/>
      <c r="DC261" s="5"/>
      <c r="DD261" s="5"/>
      <c r="DE261" s="5"/>
      <c r="DF261" s="5"/>
      <c r="DG261" s="5"/>
    </row>
    <row r="262" spans="1:111" x14ac:dyDescent="0.2">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c r="CR262" s="4"/>
      <c r="CS262" s="4"/>
      <c r="CT262" s="4"/>
      <c r="CU262" s="4"/>
      <c r="CV262" s="4"/>
      <c r="CW262" s="4"/>
      <c r="CX262" s="4"/>
      <c r="CY262" s="4"/>
      <c r="CZ262" s="5"/>
      <c r="DA262" s="5"/>
      <c r="DB262" s="5"/>
      <c r="DC262" s="5"/>
      <c r="DD262" s="5"/>
      <c r="DE262" s="5"/>
      <c r="DF262" s="5"/>
      <c r="DG262" s="5"/>
    </row>
    <row r="263" spans="1:111" x14ac:dyDescent="0.2">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c r="CR263" s="4"/>
      <c r="CS263" s="4"/>
      <c r="CT263" s="4"/>
      <c r="CU263" s="4"/>
      <c r="CV263" s="4"/>
      <c r="CW263" s="4"/>
      <c r="CX263" s="4"/>
      <c r="CY263" s="4"/>
      <c r="CZ263" s="5"/>
      <c r="DA263" s="5"/>
      <c r="DB263" s="5"/>
      <c r="DC263" s="5"/>
      <c r="DD263" s="5"/>
      <c r="DE263" s="5"/>
      <c r="DF263" s="5"/>
      <c r="DG263" s="5"/>
    </row>
    <row r="264" spans="1:111" x14ac:dyDescent="0.2">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c r="CR264" s="4"/>
      <c r="CS264" s="4"/>
      <c r="CT264" s="4"/>
      <c r="CU264" s="4"/>
      <c r="CV264" s="4"/>
      <c r="CW264" s="4"/>
      <c r="CX264" s="4"/>
      <c r="CY264" s="4"/>
      <c r="CZ264" s="5"/>
      <c r="DA264" s="5"/>
      <c r="DB264" s="5"/>
      <c r="DC264" s="5"/>
      <c r="DD264" s="5"/>
      <c r="DE264" s="5"/>
      <c r="DF264" s="5"/>
      <c r="DG264" s="5"/>
    </row>
    <row r="265" spans="1:111" x14ac:dyDescent="0.2">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c r="CR265" s="4"/>
      <c r="CS265" s="4"/>
      <c r="CT265" s="4"/>
      <c r="CU265" s="4"/>
      <c r="CV265" s="4"/>
      <c r="CW265" s="4"/>
      <c r="CX265" s="4"/>
      <c r="CY265" s="4"/>
      <c r="CZ265" s="5"/>
      <c r="DA265" s="5"/>
      <c r="DB265" s="5"/>
      <c r="DC265" s="5"/>
      <c r="DD265" s="5"/>
      <c r="DE265" s="5"/>
      <c r="DF265" s="5"/>
      <c r="DG265" s="5"/>
    </row>
    <row r="266" spans="1:111" x14ac:dyDescent="0.2">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c r="CR266" s="4"/>
      <c r="CS266" s="4"/>
      <c r="CT266" s="4"/>
      <c r="CU266" s="4"/>
      <c r="CV266" s="4"/>
      <c r="CW266" s="4"/>
      <c r="CX266" s="4"/>
      <c r="CY266" s="4"/>
      <c r="CZ266" s="5"/>
      <c r="DA266" s="5"/>
      <c r="DB266" s="5"/>
      <c r="DC266" s="5"/>
      <c r="DD266" s="5"/>
      <c r="DE266" s="5"/>
      <c r="DF266" s="5"/>
      <c r="DG266" s="5"/>
    </row>
    <row r="267" spans="1:111" x14ac:dyDescent="0.2">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c r="CR267" s="4"/>
      <c r="CS267" s="4"/>
      <c r="CT267" s="4"/>
      <c r="CU267" s="4"/>
      <c r="CV267" s="4"/>
      <c r="CW267" s="4"/>
      <c r="CX267" s="4"/>
      <c r="CY267" s="4"/>
      <c r="CZ267" s="5"/>
      <c r="DA267" s="5"/>
      <c r="DB267" s="5"/>
      <c r="DC267" s="5"/>
      <c r="DD267" s="5"/>
      <c r="DE267" s="5"/>
      <c r="DF267" s="5"/>
      <c r="DG267" s="5"/>
    </row>
    <row r="268" spans="1:111" x14ac:dyDescent="0.2">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c r="CR268" s="4"/>
      <c r="CS268" s="4"/>
      <c r="CT268" s="4"/>
      <c r="CU268" s="4"/>
      <c r="CV268" s="4"/>
      <c r="CW268" s="4"/>
      <c r="CX268" s="4"/>
      <c r="CY268" s="4"/>
      <c r="CZ268" s="5"/>
      <c r="DA268" s="5"/>
      <c r="DB268" s="5"/>
      <c r="DC268" s="5"/>
      <c r="DD268" s="5"/>
      <c r="DE268" s="5"/>
      <c r="DF268" s="5"/>
      <c r="DG268" s="5"/>
    </row>
    <row r="269" spans="1:111" x14ac:dyDescent="0.2">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c r="CR269" s="4"/>
      <c r="CS269" s="4"/>
      <c r="CT269" s="4"/>
      <c r="CU269" s="4"/>
      <c r="CV269" s="4"/>
      <c r="CW269" s="4"/>
      <c r="CX269" s="4"/>
      <c r="CY269" s="4"/>
      <c r="CZ269" s="5"/>
      <c r="DA269" s="5"/>
      <c r="DB269" s="5"/>
      <c r="DC269" s="5"/>
      <c r="DD269" s="5"/>
      <c r="DE269" s="5"/>
      <c r="DF269" s="5"/>
      <c r="DG269" s="5"/>
    </row>
    <row r="270" spans="1:111" x14ac:dyDescent="0.2">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c r="CR270" s="4"/>
      <c r="CS270" s="4"/>
      <c r="CT270" s="4"/>
      <c r="CU270" s="4"/>
      <c r="CV270" s="4"/>
      <c r="CW270" s="4"/>
      <c r="CX270" s="4"/>
      <c r="CY270" s="4"/>
      <c r="CZ270" s="5"/>
      <c r="DA270" s="5"/>
      <c r="DB270" s="5"/>
      <c r="DC270" s="5"/>
      <c r="DD270" s="5"/>
      <c r="DE270" s="5"/>
      <c r="DF270" s="5"/>
      <c r="DG270" s="5"/>
    </row>
    <row r="271" spans="1:111" x14ac:dyDescent="0.2">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c r="CR271" s="4"/>
      <c r="CS271" s="4"/>
      <c r="CT271" s="4"/>
      <c r="CU271" s="4"/>
      <c r="CV271" s="4"/>
      <c r="CW271" s="4"/>
      <c r="CX271" s="4"/>
      <c r="CY271" s="4"/>
      <c r="CZ271" s="5"/>
      <c r="DA271" s="5"/>
      <c r="DB271" s="5"/>
      <c r="DC271" s="5"/>
      <c r="DD271" s="5"/>
      <c r="DE271" s="5"/>
      <c r="DF271" s="5"/>
      <c r="DG271" s="5"/>
    </row>
    <row r="272" spans="1:111" x14ac:dyDescent="0.2">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c r="CR272" s="4"/>
      <c r="CS272" s="4"/>
      <c r="CT272" s="4"/>
      <c r="CU272" s="4"/>
      <c r="CV272" s="4"/>
      <c r="CW272" s="4"/>
      <c r="CX272" s="4"/>
      <c r="CY272" s="4"/>
      <c r="CZ272" s="5"/>
      <c r="DA272" s="5"/>
      <c r="DB272" s="5"/>
      <c r="DC272" s="5"/>
      <c r="DD272" s="5"/>
      <c r="DE272" s="5"/>
      <c r="DF272" s="5"/>
      <c r="DG272" s="5"/>
    </row>
    <row r="273" spans="1:111" x14ac:dyDescent="0.2">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c r="CR273" s="4"/>
      <c r="CS273" s="4"/>
      <c r="CT273" s="4"/>
      <c r="CU273" s="4"/>
      <c r="CV273" s="4"/>
      <c r="CW273" s="4"/>
      <c r="CX273" s="4"/>
      <c r="CY273" s="4"/>
      <c r="CZ273" s="5"/>
      <c r="DA273" s="5"/>
      <c r="DB273" s="5"/>
      <c r="DC273" s="5"/>
      <c r="DD273" s="5"/>
      <c r="DE273" s="5"/>
      <c r="DF273" s="5"/>
      <c r="DG273" s="5"/>
    </row>
    <row r="274" spans="1:111" x14ac:dyDescent="0.2">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c r="BL274" s="4"/>
      <c r="BM274" s="4"/>
      <c r="BN274" s="4"/>
      <c r="BO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c r="CR274" s="4"/>
      <c r="CS274" s="4"/>
      <c r="CT274" s="4"/>
      <c r="CU274" s="4"/>
      <c r="CV274" s="4"/>
      <c r="CW274" s="4"/>
      <c r="CX274" s="4"/>
      <c r="CY274" s="4"/>
      <c r="CZ274" s="5"/>
      <c r="DA274" s="5"/>
      <c r="DB274" s="5"/>
      <c r="DC274" s="5"/>
      <c r="DD274" s="5"/>
      <c r="DE274" s="5"/>
      <c r="DF274" s="5"/>
      <c r="DG274" s="5"/>
    </row>
    <row r="275" spans="1:111" x14ac:dyDescent="0.2">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c r="BL275" s="4"/>
      <c r="BM275" s="4"/>
      <c r="BN275" s="4"/>
      <c r="BO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c r="CR275" s="4"/>
      <c r="CS275" s="4"/>
      <c r="CT275" s="4"/>
      <c r="CU275" s="4"/>
      <c r="CV275" s="4"/>
      <c r="CW275" s="4"/>
      <c r="CX275" s="4"/>
      <c r="CY275" s="4"/>
      <c r="CZ275" s="5"/>
      <c r="DA275" s="5"/>
      <c r="DB275" s="5"/>
      <c r="DC275" s="5"/>
      <c r="DD275" s="5"/>
      <c r="DE275" s="5"/>
      <c r="DF275" s="5"/>
      <c r="DG275" s="5"/>
    </row>
    <row r="276" spans="1:111" x14ac:dyDescent="0.2">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c r="CR276" s="4"/>
      <c r="CS276" s="4"/>
      <c r="CT276" s="4"/>
      <c r="CU276" s="4"/>
      <c r="CV276" s="4"/>
      <c r="CW276" s="4"/>
      <c r="CX276" s="4"/>
      <c r="CY276" s="4"/>
      <c r="CZ276" s="5"/>
      <c r="DA276" s="5"/>
      <c r="DB276" s="5"/>
      <c r="DC276" s="5"/>
      <c r="DD276" s="5"/>
      <c r="DE276" s="5"/>
      <c r="DF276" s="5"/>
      <c r="DG276" s="5"/>
    </row>
    <row r="277" spans="1:111" x14ac:dyDescent="0.2">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c r="BL277" s="4"/>
      <c r="BM277" s="4"/>
      <c r="BN277" s="4"/>
      <c r="BO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c r="CR277" s="4"/>
      <c r="CS277" s="4"/>
      <c r="CT277" s="4"/>
      <c r="CU277" s="4"/>
      <c r="CV277" s="4"/>
      <c r="CW277" s="4"/>
      <c r="CX277" s="4"/>
      <c r="CY277" s="4"/>
      <c r="CZ277" s="5"/>
      <c r="DA277" s="5"/>
      <c r="DB277" s="5"/>
      <c r="DC277" s="5"/>
      <c r="DD277" s="5"/>
      <c r="DE277" s="5"/>
      <c r="DF277" s="5"/>
      <c r="DG277" s="5"/>
    </row>
    <row r="278" spans="1:111" x14ac:dyDescent="0.2">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c r="BL278" s="4"/>
      <c r="BM278" s="4"/>
      <c r="BN278" s="4"/>
      <c r="BO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c r="CR278" s="4"/>
      <c r="CS278" s="4"/>
      <c r="CT278" s="4"/>
      <c r="CU278" s="4"/>
      <c r="CV278" s="4"/>
      <c r="CW278" s="4"/>
      <c r="CX278" s="4"/>
      <c r="CY278" s="4"/>
      <c r="CZ278" s="5"/>
      <c r="DA278" s="5"/>
      <c r="DB278" s="5"/>
      <c r="DC278" s="5"/>
      <c r="DD278" s="5"/>
      <c r="DE278" s="5"/>
      <c r="DF278" s="5"/>
      <c r="DG278" s="5"/>
    </row>
    <row r="279" spans="1:111" x14ac:dyDescent="0.2">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c r="CR279" s="4"/>
      <c r="CS279" s="4"/>
      <c r="CT279" s="4"/>
      <c r="CU279" s="4"/>
      <c r="CV279" s="4"/>
      <c r="CW279" s="4"/>
      <c r="CX279" s="4"/>
      <c r="CY279" s="4"/>
      <c r="CZ279" s="5"/>
      <c r="DA279" s="5"/>
      <c r="DB279" s="5"/>
      <c r="DC279" s="5"/>
      <c r="DD279" s="5"/>
      <c r="DE279" s="5"/>
      <c r="DF279" s="5"/>
      <c r="DG279" s="5"/>
    </row>
    <row r="280" spans="1:111" x14ac:dyDescent="0.2">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c r="BL280" s="4"/>
      <c r="BM280" s="4"/>
      <c r="BN280" s="4"/>
      <c r="BO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c r="CR280" s="4"/>
      <c r="CS280" s="4"/>
      <c r="CT280" s="4"/>
      <c r="CU280" s="4"/>
      <c r="CV280" s="4"/>
      <c r="CW280" s="4"/>
      <c r="CX280" s="4"/>
      <c r="CY280" s="4"/>
      <c r="CZ280" s="5"/>
      <c r="DA280" s="5"/>
      <c r="DB280" s="5"/>
      <c r="DC280" s="5"/>
      <c r="DD280" s="5"/>
      <c r="DE280" s="5"/>
      <c r="DF280" s="5"/>
      <c r="DG280" s="5"/>
    </row>
    <row r="281" spans="1:111" x14ac:dyDescent="0.2">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c r="BL281" s="4"/>
      <c r="BM281" s="4"/>
      <c r="BN281" s="4"/>
      <c r="BO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c r="CR281" s="4"/>
      <c r="CS281" s="4"/>
      <c r="CT281" s="4"/>
      <c r="CU281" s="4"/>
      <c r="CV281" s="4"/>
      <c r="CW281" s="4"/>
      <c r="CX281" s="4"/>
      <c r="CY281" s="4"/>
      <c r="CZ281" s="5"/>
      <c r="DA281" s="5"/>
      <c r="DB281" s="5"/>
      <c r="DC281" s="5"/>
      <c r="DD281" s="5"/>
      <c r="DE281" s="5"/>
      <c r="DF281" s="5"/>
      <c r="DG281" s="5"/>
    </row>
    <row r="282" spans="1:111" x14ac:dyDescent="0.2">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c r="CR282" s="4"/>
      <c r="CS282" s="4"/>
      <c r="CT282" s="4"/>
      <c r="CU282" s="4"/>
      <c r="CV282" s="4"/>
      <c r="CW282" s="4"/>
      <c r="CX282" s="4"/>
      <c r="CY282" s="4"/>
      <c r="CZ282" s="5"/>
      <c r="DA282" s="5"/>
      <c r="DB282" s="5"/>
      <c r="DC282" s="5"/>
      <c r="DD282" s="5"/>
      <c r="DE282" s="5"/>
      <c r="DF282" s="5"/>
      <c r="DG282" s="5"/>
    </row>
    <row r="283" spans="1:111" x14ac:dyDescent="0.2">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c r="BL283" s="4"/>
      <c r="BM283" s="4"/>
      <c r="BN283" s="4"/>
      <c r="BO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c r="CR283" s="4"/>
      <c r="CS283" s="4"/>
      <c r="CT283" s="4"/>
      <c r="CU283" s="4"/>
      <c r="CV283" s="4"/>
      <c r="CW283" s="4"/>
      <c r="CX283" s="4"/>
      <c r="CY283" s="4"/>
      <c r="CZ283" s="5"/>
      <c r="DA283" s="5"/>
      <c r="DB283" s="5"/>
      <c r="DC283" s="5"/>
      <c r="DD283" s="5"/>
      <c r="DE283" s="5"/>
      <c r="DF283" s="5"/>
      <c r="DG283" s="5"/>
    </row>
    <row r="284" spans="1:111" x14ac:dyDescent="0.2">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c r="BL284" s="4"/>
      <c r="BM284" s="4"/>
      <c r="BN284" s="4"/>
      <c r="BO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c r="CR284" s="4"/>
      <c r="CS284" s="4"/>
      <c r="CT284" s="4"/>
      <c r="CU284" s="4"/>
      <c r="CV284" s="4"/>
      <c r="CW284" s="4"/>
      <c r="CX284" s="4"/>
      <c r="CY284" s="4"/>
      <c r="CZ284" s="5"/>
      <c r="DA284" s="5"/>
      <c r="DB284" s="5"/>
      <c r="DC284" s="5"/>
      <c r="DD284" s="5"/>
      <c r="DE284" s="5"/>
      <c r="DF284" s="5"/>
      <c r="DG284" s="5"/>
    </row>
    <row r="285" spans="1:111" x14ac:dyDescent="0.2">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c r="BL285" s="4"/>
      <c r="BM285" s="4"/>
      <c r="BN285" s="4"/>
      <c r="BO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c r="CR285" s="4"/>
      <c r="CS285" s="4"/>
      <c r="CT285" s="4"/>
      <c r="CU285" s="4"/>
      <c r="CV285" s="4"/>
      <c r="CW285" s="4"/>
      <c r="CX285" s="4"/>
      <c r="CY285" s="4"/>
      <c r="CZ285" s="5"/>
      <c r="DA285" s="5"/>
      <c r="DB285" s="5"/>
      <c r="DC285" s="5"/>
      <c r="DD285" s="5"/>
      <c r="DE285" s="5"/>
      <c r="DF285" s="5"/>
      <c r="DG285" s="5"/>
    </row>
    <row r="286" spans="1:111" x14ac:dyDescent="0.2">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c r="BL286" s="4"/>
      <c r="BM286" s="4"/>
      <c r="BN286" s="4"/>
      <c r="BO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c r="CR286" s="4"/>
      <c r="CS286" s="4"/>
      <c r="CT286" s="4"/>
      <c r="CU286" s="4"/>
      <c r="CV286" s="4"/>
      <c r="CW286" s="4"/>
      <c r="CX286" s="4"/>
      <c r="CY286" s="4"/>
      <c r="CZ286" s="5"/>
      <c r="DA286" s="5"/>
      <c r="DB286" s="5"/>
      <c r="DC286" s="5"/>
      <c r="DD286" s="5"/>
      <c r="DE286" s="5"/>
      <c r="DF286" s="5"/>
      <c r="DG286" s="5"/>
    </row>
    <row r="287" spans="1:111" x14ac:dyDescent="0.2">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c r="BL287" s="4"/>
      <c r="BM287" s="4"/>
      <c r="BN287" s="4"/>
      <c r="BO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c r="CR287" s="4"/>
      <c r="CS287" s="4"/>
      <c r="CT287" s="4"/>
      <c r="CU287" s="4"/>
      <c r="CV287" s="4"/>
      <c r="CW287" s="4"/>
      <c r="CX287" s="4"/>
      <c r="CY287" s="4"/>
      <c r="CZ287" s="5"/>
      <c r="DA287" s="5"/>
      <c r="DB287" s="5"/>
      <c r="DC287" s="5"/>
      <c r="DD287" s="5"/>
      <c r="DE287" s="5"/>
      <c r="DF287" s="5"/>
      <c r="DG287" s="5"/>
    </row>
    <row r="288" spans="1:111" x14ac:dyDescent="0.2">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c r="CR288" s="4"/>
      <c r="CS288" s="4"/>
      <c r="CT288" s="4"/>
      <c r="CU288" s="4"/>
      <c r="CV288" s="4"/>
      <c r="CW288" s="4"/>
      <c r="CX288" s="4"/>
      <c r="CY288" s="4"/>
      <c r="CZ288" s="5"/>
      <c r="DA288" s="5"/>
      <c r="DB288" s="5"/>
      <c r="DC288" s="5"/>
      <c r="DD288" s="5"/>
      <c r="DE288" s="5"/>
      <c r="DF288" s="5"/>
      <c r="DG288" s="5"/>
    </row>
    <row r="289" spans="1:111" x14ac:dyDescent="0.2">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c r="BL289" s="4"/>
      <c r="BM289" s="4"/>
      <c r="BN289" s="4"/>
      <c r="BO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c r="CR289" s="4"/>
      <c r="CS289" s="4"/>
      <c r="CT289" s="4"/>
      <c r="CU289" s="4"/>
      <c r="CV289" s="4"/>
      <c r="CW289" s="4"/>
      <c r="CX289" s="4"/>
      <c r="CY289" s="4"/>
      <c r="CZ289" s="5"/>
      <c r="DA289" s="5"/>
      <c r="DB289" s="5"/>
      <c r="DC289" s="5"/>
      <c r="DD289" s="5"/>
      <c r="DE289" s="5"/>
      <c r="DF289" s="5"/>
      <c r="DG289" s="5"/>
    </row>
    <row r="290" spans="1:111" x14ac:dyDescent="0.2">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c r="BL290" s="4"/>
      <c r="BM290" s="4"/>
      <c r="BN290" s="4"/>
      <c r="BO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c r="CR290" s="4"/>
      <c r="CS290" s="4"/>
      <c r="CT290" s="4"/>
      <c r="CU290" s="4"/>
      <c r="CV290" s="4"/>
      <c r="CW290" s="4"/>
      <c r="CX290" s="4"/>
      <c r="CY290" s="4"/>
      <c r="CZ290" s="5"/>
      <c r="DA290" s="5"/>
      <c r="DB290" s="5"/>
      <c r="DC290" s="5"/>
      <c r="DD290" s="5"/>
      <c r="DE290" s="5"/>
      <c r="DF290" s="5"/>
      <c r="DG290" s="5"/>
    </row>
    <row r="291" spans="1:111" x14ac:dyDescent="0.2">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c r="CR291" s="4"/>
      <c r="CS291" s="4"/>
      <c r="CT291" s="4"/>
      <c r="CU291" s="4"/>
      <c r="CV291" s="4"/>
      <c r="CW291" s="4"/>
      <c r="CX291" s="4"/>
      <c r="CY291" s="4"/>
      <c r="CZ291" s="5"/>
      <c r="DA291" s="5"/>
      <c r="DB291" s="5"/>
      <c r="DC291" s="5"/>
      <c r="DD291" s="5"/>
      <c r="DE291" s="5"/>
      <c r="DF291" s="5"/>
      <c r="DG291" s="5"/>
    </row>
    <row r="292" spans="1:111" x14ac:dyDescent="0.2">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c r="BL292" s="4"/>
      <c r="BM292" s="4"/>
      <c r="BN292" s="4"/>
      <c r="BO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c r="CR292" s="4"/>
      <c r="CS292" s="4"/>
      <c r="CT292" s="4"/>
      <c r="CU292" s="4"/>
      <c r="CV292" s="4"/>
      <c r="CW292" s="4"/>
      <c r="CX292" s="4"/>
      <c r="CY292" s="4"/>
      <c r="CZ292" s="5"/>
      <c r="DA292" s="5"/>
      <c r="DB292" s="5"/>
      <c r="DC292" s="5"/>
      <c r="DD292" s="5"/>
      <c r="DE292" s="5"/>
      <c r="DF292" s="5"/>
      <c r="DG292" s="5"/>
    </row>
    <row r="293" spans="1:111" x14ac:dyDescent="0.2">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c r="BL293" s="4"/>
      <c r="BM293" s="4"/>
      <c r="BN293" s="4"/>
      <c r="BO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c r="CR293" s="4"/>
      <c r="CS293" s="4"/>
      <c r="CT293" s="4"/>
      <c r="CU293" s="4"/>
      <c r="CV293" s="4"/>
      <c r="CW293" s="4"/>
      <c r="CX293" s="4"/>
      <c r="CY293" s="4"/>
      <c r="CZ293" s="5"/>
      <c r="DA293" s="5"/>
      <c r="DB293" s="5"/>
      <c r="DC293" s="5"/>
      <c r="DD293" s="5"/>
      <c r="DE293" s="5"/>
      <c r="DF293" s="5"/>
      <c r="DG293" s="5"/>
    </row>
    <row r="294" spans="1:111" x14ac:dyDescent="0.2">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c r="CR294" s="4"/>
      <c r="CS294" s="4"/>
      <c r="CT294" s="4"/>
      <c r="CU294" s="4"/>
      <c r="CV294" s="4"/>
      <c r="CW294" s="4"/>
      <c r="CX294" s="4"/>
      <c r="CY294" s="4"/>
      <c r="CZ294" s="5"/>
      <c r="DA294" s="5"/>
      <c r="DB294" s="5"/>
      <c r="DC294" s="5"/>
      <c r="DD294" s="5"/>
      <c r="DE294" s="5"/>
      <c r="DF294" s="5"/>
      <c r="DG294" s="5"/>
    </row>
    <row r="295" spans="1:111" x14ac:dyDescent="0.2">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5"/>
      <c r="DA295" s="5"/>
      <c r="DB295" s="5"/>
      <c r="DC295" s="5"/>
      <c r="DD295" s="5"/>
      <c r="DE295" s="5"/>
      <c r="DF295" s="5"/>
      <c r="DG295" s="5"/>
    </row>
    <row r="296" spans="1:111" x14ac:dyDescent="0.2">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c r="BL296" s="4"/>
      <c r="BM296" s="4"/>
      <c r="BN296" s="4"/>
      <c r="BO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c r="CR296" s="4"/>
      <c r="CS296" s="4"/>
      <c r="CT296" s="4"/>
      <c r="CU296" s="4"/>
      <c r="CV296" s="4"/>
      <c r="CW296" s="4"/>
      <c r="CX296" s="4"/>
      <c r="CY296" s="4"/>
      <c r="CZ296" s="5"/>
      <c r="DA296" s="5"/>
      <c r="DB296" s="5"/>
      <c r="DC296" s="5"/>
      <c r="DD296" s="5"/>
      <c r="DE296" s="5"/>
      <c r="DF296" s="5"/>
      <c r="DG296" s="5"/>
    </row>
    <row r="297" spans="1:111" x14ac:dyDescent="0.2">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c r="CR297" s="4"/>
      <c r="CS297" s="4"/>
      <c r="CT297" s="4"/>
      <c r="CU297" s="4"/>
      <c r="CV297" s="4"/>
      <c r="CW297" s="4"/>
      <c r="CX297" s="4"/>
      <c r="CY297" s="4"/>
      <c r="CZ297" s="5"/>
      <c r="DA297" s="5"/>
      <c r="DB297" s="5"/>
      <c r="DC297" s="5"/>
      <c r="DD297" s="5"/>
      <c r="DE297" s="5"/>
      <c r="DF297" s="5"/>
      <c r="DG297" s="5"/>
    </row>
    <row r="298" spans="1:111" x14ac:dyDescent="0.2">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c r="CR298" s="4"/>
      <c r="CS298" s="4"/>
      <c r="CT298" s="4"/>
      <c r="CU298" s="4"/>
      <c r="CV298" s="4"/>
      <c r="CW298" s="4"/>
      <c r="CX298" s="4"/>
      <c r="CY298" s="4"/>
      <c r="CZ298" s="5"/>
      <c r="DA298" s="5"/>
      <c r="DB298" s="5"/>
      <c r="DC298" s="5"/>
      <c r="DD298" s="5"/>
      <c r="DE298" s="5"/>
      <c r="DF298" s="5"/>
      <c r="DG298" s="5"/>
    </row>
    <row r="299" spans="1:111" x14ac:dyDescent="0.2">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c r="AN299" s="4"/>
      <c r="AO299" s="4"/>
      <c r="AP299" s="4"/>
      <c r="AQ299" s="4"/>
      <c r="AR299" s="4"/>
      <c r="AS299" s="4"/>
      <c r="AT299" s="4"/>
      <c r="AU299" s="4"/>
      <c r="AV299" s="4"/>
      <c r="AW299" s="4"/>
      <c r="AX299" s="4"/>
      <c r="AY299" s="4"/>
      <c r="AZ299" s="4"/>
      <c r="BA299" s="4"/>
      <c r="BB299" s="4"/>
      <c r="BC299" s="4"/>
      <c r="BD299" s="4"/>
      <c r="BE299" s="4"/>
      <c r="BF299" s="4"/>
      <c r="BG299" s="4"/>
      <c r="BH299" s="4"/>
      <c r="BI299" s="4"/>
      <c r="BJ299" s="4"/>
      <c r="BK299" s="4"/>
      <c r="BL299" s="4"/>
      <c r="BM299" s="4"/>
      <c r="BN299" s="4"/>
      <c r="BO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c r="CR299" s="4"/>
      <c r="CS299" s="4"/>
      <c r="CT299" s="4"/>
      <c r="CU299" s="4"/>
      <c r="CV299" s="4"/>
      <c r="CW299" s="4"/>
      <c r="CX299" s="4"/>
      <c r="CY299" s="4"/>
      <c r="CZ299" s="5"/>
      <c r="DA299" s="5"/>
      <c r="DB299" s="5"/>
      <c r="DC299" s="5"/>
      <c r="DD299" s="5"/>
      <c r="DE299" s="5"/>
      <c r="DF299" s="5"/>
      <c r="DG299" s="5"/>
    </row>
    <row r="300" spans="1:111" x14ac:dyDescent="0.2">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c r="AN300" s="4"/>
      <c r="AO300" s="4"/>
      <c r="AP300" s="4"/>
      <c r="AQ300" s="4"/>
      <c r="AR300" s="4"/>
      <c r="AS300" s="4"/>
      <c r="AT300" s="4"/>
      <c r="AU300" s="4"/>
      <c r="AV300" s="4"/>
      <c r="AW300" s="4"/>
      <c r="AX300" s="4"/>
      <c r="AY300" s="4"/>
      <c r="AZ300" s="4"/>
      <c r="BA300" s="4"/>
      <c r="BB300" s="4"/>
      <c r="BC300" s="4"/>
      <c r="BD300" s="4"/>
      <c r="BE300" s="4"/>
      <c r="BF300" s="4"/>
      <c r="BG300" s="4"/>
      <c r="BH300" s="4"/>
      <c r="BI300" s="4"/>
      <c r="BJ300" s="4"/>
      <c r="BK300" s="4"/>
      <c r="BL300" s="4"/>
      <c r="BM300" s="4"/>
      <c r="BN300" s="4"/>
      <c r="BO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c r="CR300" s="4"/>
      <c r="CS300" s="4"/>
      <c r="CT300" s="4"/>
      <c r="CU300" s="4"/>
      <c r="CV300" s="4"/>
      <c r="CW300" s="4"/>
      <c r="CX300" s="4"/>
      <c r="CY300" s="4"/>
      <c r="CZ300" s="5"/>
      <c r="DA300" s="5"/>
      <c r="DB300" s="5"/>
      <c r="DC300" s="5"/>
      <c r="DD300" s="5"/>
      <c r="DE300" s="5"/>
      <c r="DF300" s="5"/>
      <c r="DG300" s="5"/>
    </row>
    <row r="301" spans="1:111" x14ac:dyDescent="0.2">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c r="CR301" s="4"/>
      <c r="CS301" s="4"/>
      <c r="CT301" s="4"/>
      <c r="CU301" s="4"/>
      <c r="CV301" s="4"/>
      <c r="CW301" s="4"/>
      <c r="CX301" s="4"/>
      <c r="CY301" s="4"/>
      <c r="CZ301" s="5"/>
      <c r="DA301" s="5"/>
      <c r="DB301" s="5"/>
      <c r="DC301" s="5"/>
      <c r="DD301" s="5"/>
      <c r="DE301" s="5"/>
      <c r="DF301" s="5"/>
      <c r="DG301" s="5"/>
    </row>
    <row r="302" spans="1:111" x14ac:dyDescent="0.2">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c r="AN302" s="4"/>
      <c r="AO302" s="4"/>
      <c r="AP302" s="4"/>
      <c r="AQ302" s="4"/>
      <c r="AR302" s="4"/>
      <c r="AS302" s="4"/>
      <c r="AT302" s="4"/>
      <c r="AU302" s="4"/>
      <c r="AV302" s="4"/>
      <c r="AW302" s="4"/>
      <c r="AX302" s="4"/>
      <c r="AY302" s="4"/>
      <c r="AZ302" s="4"/>
      <c r="BA302" s="4"/>
      <c r="BB302" s="4"/>
      <c r="BC302" s="4"/>
      <c r="BD302" s="4"/>
      <c r="BE302" s="4"/>
      <c r="BF302" s="4"/>
      <c r="BG302" s="4"/>
      <c r="BH302" s="4"/>
      <c r="BI302" s="4"/>
      <c r="BJ302" s="4"/>
      <c r="BK302" s="4"/>
      <c r="BL302" s="4"/>
      <c r="BM302" s="4"/>
      <c r="BN302" s="4"/>
      <c r="BO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c r="CR302" s="4"/>
      <c r="CS302" s="4"/>
      <c r="CT302" s="4"/>
      <c r="CU302" s="4"/>
      <c r="CV302" s="4"/>
      <c r="CW302" s="4"/>
      <c r="CX302" s="4"/>
      <c r="CY302" s="4"/>
      <c r="CZ302" s="5"/>
      <c r="DA302" s="5"/>
      <c r="DB302" s="5"/>
      <c r="DC302" s="5"/>
      <c r="DD302" s="5"/>
      <c r="DE302" s="5"/>
      <c r="DF302" s="5"/>
      <c r="DG302" s="5"/>
    </row>
    <row r="303" spans="1:111" x14ac:dyDescent="0.2">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c r="AN303" s="4"/>
      <c r="AO303" s="4"/>
      <c r="AP303" s="4"/>
      <c r="AQ303" s="4"/>
      <c r="AR303" s="4"/>
      <c r="AS303" s="4"/>
      <c r="AT303" s="4"/>
      <c r="AU303" s="4"/>
      <c r="AV303" s="4"/>
      <c r="AW303" s="4"/>
      <c r="AX303" s="4"/>
      <c r="AY303" s="4"/>
      <c r="AZ303" s="4"/>
      <c r="BA303" s="4"/>
      <c r="BB303" s="4"/>
      <c r="BC303" s="4"/>
      <c r="BD303" s="4"/>
      <c r="BE303" s="4"/>
      <c r="BF303" s="4"/>
      <c r="BG303" s="4"/>
      <c r="BH303" s="4"/>
      <c r="BI303" s="4"/>
      <c r="BJ303" s="4"/>
      <c r="BK303" s="4"/>
      <c r="BL303" s="4"/>
      <c r="BM303" s="4"/>
      <c r="BN303" s="4"/>
      <c r="BO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c r="CR303" s="4"/>
      <c r="CS303" s="4"/>
      <c r="CT303" s="4"/>
      <c r="CU303" s="4"/>
      <c r="CV303" s="4"/>
      <c r="CW303" s="4"/>
      <c r="CX303" s="4"/>
      <c r="CY303" s="4"/>
      <c r="CZ303" s="5"/>
      <c r="DA303" s="5"/>
      <c r="DB303" s="5"/>
      <c r="DC303" s="5"/>
      <c r="DD303" s="5"/>
      <c r="DE303" s="5"/>
      <c r="DF303" s="5"/>
      <c r="DG303" s="5"/>
    </row>
    <row r="304" spans="1:111" x14ac:dyDescent="0.2">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c r="CR304" s="4"/>
      <c r="CS304" s="4"/>
      <c r="CT304" s="4"/>
      <c r="CU304" s="4"/>
      <c r="CV304" s="4"/>
      <c r="CW304" s="4"/>
      <c r="CX304" s="4"/>
      <c r="CY304" s="4"/>
      <c r="CZ304" s="5"/>
      <c r="DA304" s="5"/>
      <c r="DB304" s="5"/>
      <c r="DC304" s="5"/>
      <c r="DD304" s="5"/>
      <c r="DE304" s="5"/>
      <c r="DF304" s="5"/>
      <c r="DG304" s="5"/>
    </row>
    <row r="305" spans="1:111" x14ac:dyDescent="0.2">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c r="CR305" s="4"/>
      <c r="CS305" s="4"/>
      <c r="CT305" s="4"/>
      <c r="CU305" s="4"/>
      <c r="CV305" s="4"/>
      <c r="CW305" s="4"/>
      <c r="CX305" s="4"/>
      <c r="CY305" s="4"/>
      <c r="CZ305" s="5"/>
      <c r="DA305" s="5"/>
      <c r="DB305" s="5"/>
      <c r="DC305" s="5"/>
      <c r="DD305" s="5"/>
      <c r="DE305" s="5"/>
      <c r="DF305" s="5"/>
      <c r="DG305" s="5"/>
    </row>
    <row r="306" spans="1:111" x14ac:dyDescent="0.2">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5"/>
      <c r="CB306" s="5"/>
      <c r="CC306" s="5"/>
      <c r="CD306" s="5"/>
      <c r="CE306" s="5"/>
      <c r="CF306" s="5"/>
      <c r="CG306" s="5"/>
      <c r="CH306" s="5"/>
      <c r="CI306" s="5"/>
      <c r="CJ306" s="5"/>
      <c r="CK306" s="5"/>
      <c r="CL306" s="5"/>
      <c r="CM306" s="5"/>
      <c r="CN306" s="5"/>
      <c r="CO306" s="5"/>
      <c r="CP306" s="5"/>
      <c r="CQ306" s="5"/>
      <c r="CR306" s="5"/>
      <c r="CS306" s="5"/>
      <c r="CT306" s="5"/>
      <c r="CU306" s="5"/>
      <c r="CV306" s="5"/>
      <c r="CW306" s="5"/>
      <c r="CX306" s="5"/>
      <c r="CY306" s="5"/>
      <c r="CZ306" s="5"/>
      <c r="DA306" s="5"/>
      <c r="DB306" s="5"/>
      <c r="DC306" s="5"/>
      <c r="DD306" s="5"/>
      <c r="DE306" s="5"/>
      <c r="DF306" s="5"/>
      <c r="DG306" s="5"/>
    </row>
    <row r="307" spans="1:111" x14ac:dyDescent="0.2">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c r="AS307" s="5"/>
      <c r="AT307" s="5"/>
      <c r="AU307" s="5"/>
      <c r="AV307" s="5"/>
      <c r="AW307" s="5"/>
      <c r="AX307" s="5"/>
      <c r="AY307" s="5"/>
      <c r="AZ307" s="5"/>
      <c r="BA307" s="5"/>
      <c r="BB307" s="5"/>
      <c r="BC307" s="5"/>
      <c r="BD307" s="5"/>
      <c r="BE307" s="5"/>
      <c r="BF307" s="5"/>
      <c r="BG307" s="5"/>
      <c r="BH307" s="5"/>
      <c r="BI307" s="5"/>
      <c r="BJ307" s="5"/>
      <c r="BK307" s="5"/>
      <c r="BL307" s="5"/>
      <c r="BM307" s="5"/>
      <c r="BN307" s="5"/>
      <c r="BO307" s="5"/>
      <c r="BP307" s="5"/>
      <c r="BQ307" s="5"/>
      <c r="BR307" s="5"/>
      <c r="BS307" s="5"/>
      <c r="BT307" s="5"/>
      <c r="BU307" s="5"/>
      <c r="BV307" s="5"/>
      <c r="BW307" s="5"/>
      <c r="BX307" s="5"/>
      <c r="BY307" s="5"/>
      <c r="BZ307" s="5"/>
      <c r="CA307" s="5"/>
      <c r="CB307" s="5"/>
      <c r="CC307" s="5"/>
      <c r="CD307" s="5"/>
      <c r="CE307" s="5"/>
      <c r="CF307" s="5"/>
      <c r="CG307" s="5"/>
      <c r="CH307" s="5"/>
      <c r="CI307" s="5"/>
      <c r="CJ307" s="5"/>
      <c r="CK307" s="5"/>
      <c r="CL307" s="5"/>
      <c r="CM307" s="5"/>
      <c r="CN307" s="5"/>
      <c r="CO307" s="5"/>
      <c r="CP307" s="5"/>
      <c r="CQ307" s="5"/>
      <c r="CR307" s="5"/>
      <c r="CS307" s="5"/>
      <c r="CT307" s="5"/>
      <c r="CU307" s="5"/>
      <c r="CV307" s="5"/>
      <c r="CW307" s="5"/>
      <c r="CX307" s="5"/>
      <c r="CY307" s="5"/>
      <c r="CZ307" s="5"/>
      <c r="DA307" s="5"/>
      <c r="DB307" s="5"/>
      <c r="DC307" s="5"/>
      <c r="DD307" s="5"/>
      <c r="DE307" s="5"/>
      <c r="DF307" s="5"/>
      <c r="DG307" s="5"/>
    </row>
  </sheetData>
  <sheetProtection password="E075" sheet="1" objects="1" scenarios="1"/>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SummaryReport</vt:lpstr>
      <vt:lpstr>Sheet2</vt:lpstr>
      <vt:lpstr>Sheet1</vt:lpstr>
      <vt:lpstr>SummaryReport!Print_Area</vt:lpstr>
    </vt:vector>
  </TitlesOfParts>
  <Company>University of Arkansas Division of Agriculture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of Revenue and Expenses per Acre, Surface Irrigation</dc:title>
  <dc:subject>Summary of Revenue and Expenses per Acre, Surface Irrigation</dc:subject>
  <dc:creator>bjwatkins</dc:creator>
  <cp:keywords>university,arkansas,division,agriculture,revenue,expenses,summary,surface,irrigation,2013.</cp:keywords>
  <dc:description>This spreadsheet may be inherently visual in nature and may not be effectively communicated in a non-visual manner due to protected cells. With the passing of the federal law Section 508 and the Arkansas Information Technology Access for the Blind Law (Act 1227 of 1999) it has become imperative that all agencies be compliant with these laws. If you require assistance with interpreting the material presented in this document, please contact Archie Flanders at 870-526-2199 extension 108 or aflanders@uaex.edu.</dc:description>
  <cp:lastModifiedBy>bjwatkins</cp:lastModifiedBy>
  <cp:lastPrinted>2015-11-03T16:11:31Z</cp:lastPrinted>
  <dcterms:created xsi:type="dcterms:W3CDTF">2005-11-29T13:52:22Z</dcterms:created>
  <dcterms:modified xsi:type="dcterms:W3CDTF">2022-04-26T22:40:34Z</dcterms:modified>
</cp:coreProperties>
</file>