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landers\Documents\Documents\Enterprise Budgets\Budgets2016\"/>
    </mc:Choice>
  </mc:AlternateContent>
  <bookViews>
    <workbookView xWindow="480" yWindow="612" windowWidth="20736" windowHeight="11400" firstSheet="3" activeTab="3"/>
  </bookViews>
  <sheets>
    <sheet name="GP_ShareRent" sheetId="22" state="hidden" r:id="rId1"/>
    <sheet name="GP_Owned_CashRent" sheetId="21" state="hidden" r:id="rId2"/>
    <sheet name="National_County" sheetId="23" state="hidden" r:id="rId3"/>
    <sheet name="PLC_ARC_National_Price" sheetId="32" r:id="rId4"/>
    <sheet name="PLC_ARC_Owned_CashRent" sheetId="26" r:id="rId5"/>
    <sheet name="PLC_ARC_ShareRent" sheetId="29" r:id="rId6"/>
    <sheet name="PLC_PaymentYields" sheetId="33" r:id="rId7"/>
    <sheet name="LDP" sheetId="28" r:id="rId8"/>
  </sheets>
  <definedNames>
    <definedName name="_xlnm.Print_Area" localSheetId="7">LDP!$A$1:$J$24</definedName>
    <definedName name="_xlnm.Print_Area" localSheetId="3">PLC_ARC_National_Price!$A$1:$H$25</definedName>
    <definedName name="_xlnm.Print_Area" localSheetId="4">PLC_ARC_Owned_CashRent!$A$1:$K$37</definedName>
    <definedName name="_xlnm.Print_Area" localSheetId="5">PLC_ARC_ShareRent!$I$1:$S$37</definedName>
    <definedName name="_xlnm.Print_Area" localSheetId="6">PLC_PaymentYields!$A$2:$O$34</definedName>
  </definedNames>
  <calcPr calcId="152511"/>
</workbook>
</file>

<file path=xl/calcChain.xml><?xml version="1.0" encoding="utf-8"?>
<calcChain xmlns="http://schemas.openxmlformats.org/spreadsheetml/2006/main">
  <c r="G30" i="29" l="1"/>
  <c r="G29" i="29"/>
  <c r="G28" i="29"/>
  <c r="G27" i="29"/>
  <c r="G26" i="29"/>
  <c r="G30" i="26"/>
  <c r="G29" i="26"/>
  <c r="G28" i="26"/>
  <c r="G27" i="26"/>
  <c r="G26" i="26"/>
  <c r="O34" i="33" l="1"/>
  <c r="N34" i="33" s="1"/>
  <c r="M34" i="33"/>
  <c r="L34" i="33" s="1"/>
  <c r="K34" i="33"/>
  <c r="J34" i="33" s="1"/>
  <c r="I34" i="33"/>
  <c r="H34" i="33" s="1"/>
  <c r="G34" i="33"/>
  <c r="F34" i="33" s="1"/>
  <c r="E34" i="33"/>
  <c r="D34" i="33"/>
  <c r="C34" i="33"/>
  <c r="B34" i="33" s="1"/>
  <c r="A5" i="33"/>
  <c r="A6" i="33" s="1"/>
  <c r="A7" i="33" s="1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H25" i="32" l="1"/>
  <c r="G25" i="32"/>
  <c r="F25" i="32"/>
  <c r="C25" i="32"/>
  <c r="B25" i="32"/>
  <c r="H24" i="32"/>
  <c r="G24" i="32"/>
  <c r="F24" i="32"/>
  <c r="C24" i="32"/>
  <c r="B24" i="32"/>
  <c r="H23" i="32"/>
  <c r="G23" i="32"/>
  <c r="F23" i="32"/>
  <c r="C23" i="32"/>
  <c r="B23" i="32"/>
  <c r="H22" i="32"/>
  <c r="G22" i="32"/>
  <c r="F22" i="32"/>
  <c r="C22" i="32"/>
  <c r="B22" i="32"/>
  <c r="H21" i="32"/>
  <c r="G21" i="32"/>
  <c r="F21" i="32"/>
  <c r="C21" i="32"/>
  <c r="B21" i="32"/>
  <c r="H18" i="32"/>
  <c r="G18" i="32"/>
  <c r="F18" i="32"/>
  <c r="C18" i="32"/>
  <c r="B18" i="32"/>
  <c r="H17" i="32"/>
  <c r="G17" i="32"/>
  <c r="F17" i="32"/>
  <c r="C17" i="32"/>
  <c r="B17" i="32"/>
  <c r="H16" i="32"/>
  <c r="G16" i="32"/>
  <c r="F16" i="32"/>
  <c r="C16" i="32"/>
  <c r="B16" i="32"/>
  <c r="H15" i="32"/>
  <c r="G15" i="32"/>
  <c r="F15" i="32"/>
  <c r="C15" i="32"/>
  <c r="B15" i="32"/>
  <c r="H14" i="32"/>
  <c r="G14" i="32"/>
  <c r="F14" i="32"/>
  <c r="C14" i="32"/>
  <c r="B14" i="32"/>
  <c r="H19" i="32" l="1"/>
  <c r="Q6" i="29" s="1"/>
  <c r="G19" i="32"/>
  <c r="P6" i="29" s="1"/>
  <c r="B19" i="32"/>
  <c r="K6" i="29" s="1"/>
  <c r="C19" i="32"/>
  <c r="L6" i="29" s="1"/>
  <c r="F19" i="32"/>
  <c r="O6" i="29" s="1"/>
  <c r="H11" i="28" l="1"/>
  <c r="H10" i="28" s="1"/>
  <c r="G11" i="28"/>
  <c r="G10" i="28" s="1"/>
  <c r="H22" i="28" l="1"/>
  <c r="H21" i="28" s="1"/>
  <c r="G22" i="28"/>
  <c r="G21" i="28" s="1"/>
  <c r="G14" i="29" l="1"/>
  <c r="G11" i="29" s="1"/>
  <c r="G14" i="26"/>
  <c r="G11" i="26" s="1"/>
  <c r="E24" i="28"/>
  <c r="E23" i="28"/>
  <c r="E12" i="28"/>
  <c r="P32" i="29" l="1"/>
  <c r="P5" i="29" s="1"/>
  <c r="P16" i="29" s="1"/>
  <c r="G33" i="26"/>
  <c r="G37" i="26" s="1"/>
  <c r="P32" i="26"/>
  <c r="P5" i="26" s="1"/>
  <c r="G33" i="29"/>
  <c r="G37" i="29" s="1"/>
  <c r="P18" i="26"/>
  <c r="E11" i="28"/>
  <c r="E10" i="28" s="1"/>
  <c r="P6" i="26"/>
  <c r="E22" i="28"/>
  <c r="E21" i="28" s="1"/>
  <c r="P18" i="29"/>
  <c r="N20" i="29"/>
  <c r="N13" i="29"/>
  <c r="E20" i="29"/>
  <c r="E13" i="29"/>
  <c r="N32" i="29"/>
  <c r="N5" i="29" s="1"/>
  <c r="E33" i="29"/>
  <c r="E7" i="29" s="1"/>
  <c r="N20" i="26"/>
  <c r="N13" i="26"/>
  <c r="N32" i="26"/>
  <c r="N5" i="26" s="1"/>
  <c r="E33" i="26"/>
  <c r="E37" i="26" s="1"/>
  <c r="E20" i="26"/>
  <c r="E13" i="26"/>
  <c r="G7" i="29" l="1"/>
  <c r="G10" i="29" s="1"/>
  <c r="E23" i="32"/>
  <c r="E14" i="32"/>
  <c r="E24" i="32"/>
  <c r="E25" i="32"/>
  <c r="E15" i="32"/>
  <c r="E16" i="32"/>
  <c r="E17" i="32"/>
  <c r="E18" i="32"/>
  <c r="E21" i="32"/>
  <c r="E22" i="32"/>
  <c r="P16" i="26"/>
  <c r="P15" i="26" s="1"/>
  <c r="P11" i="26" s="1"/>
  <c r="P10" i="26" s="1"/>
  <c r="G7" i="26"/>
  <c r="G10" i="26" s="1"/>
  <c r="E7" i="26"/>
  <c r="P15" i="29"/>
  <c r="P11" i="29" s="1"/>
  <c r="P10" i="29" s="1"/>
  <c r="P12" i="29"/>
  <c r="E37" i="29"/>
  <c r="E14" i="29"/>
  <c r="E11" i="29" s="1"/>
  <c r="E10" i="29" s="1"/>
  <c r="N18" i="26"/>
  <c r="N18" i="29"/>
  <c r="E14" i="26"/>
  <c r="E11" i="26" s="1"/>
  <c r="Q32" i="29"/>
  <c r="O32" i="29"/>
  <c r="M32" i="29"/>
  <c r="L32" i="29"/>
  <c r="K32" i="29"/>
  <c r="Q32" i="26"/>
  <c r="O32" i="26"/>
  <c r="M32" i="26"/>
  <c r="L32" i="26"/>
  <c r="K32" i="26"/>
  <c r="E19" i="32" l="1"/>
  <c r="P12" i="26"/>
  <c r="E10" i="26"/>
  <c r="N6" i="26" l="1"/>
  <c r="N16" i="26" s="1"/>
  <c r="N6" i="29"/>
  <c r="N16" i="29" s="1"/>
  <c r="N12" i="29" l="1"/>
  <c r="N15" i="29"/>
  <c r="N11" i="29" s="1"/>
  <c r="N10" i="29" s="1"/>
  <c r="N15" i="26"/>
  <c r="N11" i="26" s="1"/>
  <c r="N10" i="26" s="1"/>
  <c r="N12" i="26"/>
  <c r="C11" i="29"/>
  <c r="M20" i="29"/>
  <c r="D20" i="29"/>
  <c r="M13" i="29"/>
  <c r="D13" i="29"/>
  <c r="H33" i="29"/>
  <c r="H7" i="29" s="1"/>
  <c r="F33" i="29"/>
  <c r="F37" i="29" s="1"/>
  <c r="D33" i="29"/>
  <c r="D37" i="29" s="1"/>
  <c r="C33" i="29"/>
  <c r="C37" i="29" s="1"/>
  <c r="B33" i="29"/>
  <c r="B37" i="29" s="1"/>
  <c r="Q5" i="29"/>
  <c r="O5" i="29"/>
  <c r="M5" i="29"/>
  <c r="L5" i="29"/>
  <c r="K5" i="29"/>
  <c r="D20" i="26"/>
  <c r="M20" i="26"/>
  <c r="D7" i="29" l="1"/>
  <c r="C7" i="29"/>
  <c r="C10" i="29" s="1"/>
  <c r="F7" i="29"/>
  <c r="B7" i="29"/>
  <c r="D14" i="29"/>
  <c r="D11" i="29" s="1"/>
  <c r="Q16" i="29"/>
  <c r="K16" i="29"/>
  <c r="K12" i="29" s="1"/>
  <c r="O16" i="29"/>
  <c r="M18" i="29"/>
  <c r="B14" i="29"/>
  <c r="K18" i="29"/>
  <c r="L16" i="29"/>
  <c r="C14" i="29"/>
  <c r="O18" i="29"/>
  <c r="H37" i="29"/>
  <c r="D24" i="28"/>
  <c r="D23" i="28"/>
  <c r="D12" i="28"/>
  <c r="K5" i="26"/>
  <c r="L5" i="26"/>
  <c r="M5" i="26"/>
  <c r="O5" i="26"/>
  <c r="Q5" i="26"/>
  <c r="B33" i="26"/>
  <c r="B7" i="26" s="1"/>
  <c r="C33" i="26"/>
  <c r="C7" i="26" s="1"/>
  <c r="D33" i="26"/>
  <c r="D7" i="26" s="1"/>
  <c r="F33" i="26"/>
  <c r="F7" i="26" s="1"/>
  <c r="H33" i="26"/>
  <c r="H37" i="26" s="1"/>
  <c r="D13" i="26"/>
  <c r="M13" i="26"/>
  <c r="D22" i="32" l="1"/>
  <c r="D23" i="32"/>
  <c r="D18" i="32"/>
  <c r="D24" i="32"/>
  <c r="D14" i="32"/>
  <c r="D25" i="32"/>
  <c r="D15" i="32"/>
  <c r="D16" i="32"/>
  <c r="D17" i="32"/>
  <c r="D21" i="32"/>
  <c r="F22" i="28"/>
  <c r="F21" i="28" s="1"/>
  <c r="D10" i="29"/>
  <c r="L18" i="29"/>
  <c r="Q18" i="29"/>
  <c r="K6" i="26"/>
  <c r="K16" i="26" s="1"/>
  <c r="D11" i="28"/>
  <c r="D10" i="28" s="1"/>
  <c r="F11" i="28"/>
  <c r="F10" i="28" s="1"/>
  <c r="B11" i="28"/>
  <c r="B10" i="28" s="1"/>
  <c r="K15" i="29"/>
  <c r="K11" i="29" s="1"/>
  <c r="K10" i="29" s="1"/>
  <c r="B11" i="29"/>
  <c r="B10" i="29" s="1"/>
  <c r="L12" i="29"/>
  <c r="L15" i="29"/>
  <c r="F14" i="29"/>
  <c r="F11" i="29"/>
  <c r="F10" i="29" s="1"/>
  <c r="O12" i="29"/>
  <c r="O15" i="29"/>
  <c r="O11" i="29" s="1"/>
  <c r="O10" i="29" s="1"/>
  <c r="H14" i="29"/>
  <c r="H11" i="29"/>
  <c r="H10" i="29" s="1"/>
  <c r="Q12" i="29"/>
  <c r="Q15" i="29"/>
  <c r="D14" i="26"/>
  <c r="D11" i="26" s="1"/>
  <c r="D10" i="26" s="1"/>
  <c r="F14" i="26"/>
  <c r="H14" i="26"/>
  <c r="I11" i="28"/>
  <c r="I10" i="28" s="1"/>
  <c r="C11" i="28"/>
  <c r="C10" i="28" s="1"/>
  <c r="H7" i="26"/>
  <c r="Q6" i="26"/>
  <c r="Q16" i="26" s="1"/>
  <c r="L6" i="26"/>
  <c r="L16" i="26" s="1"/>
  <c r="F37" i="26"/>
  <c r="D37" i="26"/>
  <c r="O6" i="26"/>
  <c r="O16" i="26" s="1"/>
  <c r="C37" i="26"/>
  <c r="B37" i="26"/>
  <c r="D19" i="32" l="1"/>
  <c r="I22" i="28"/>
  <c r="I21" i="28" s="1"/>
  <c r="L11" i="29"/>
  <c r="L10" i="29" s="1"/>
  <c r="Q11" i="29"/>
  <c r="Q10" i="29" s="1"/>
  <c r="B22" i="28"/>
  <c r="B21" i="28" s="1"/>
  <c r="C22" i="28"/>
  <c r="C21" i="28" s="1"/>
  <c r="D22" i="28"/>
  <c r="D21" i="28" s="1"/>
  <c r="J10" i="28"/>
  <c r="I10" i="29"/>
  <c r="B14" i="26"/>
  <c r="B11" i="26" s="1"/>
  <c r="B10" i="26" s="1"/>
  <c r="Q18" i="26"/>
  <c r="L18" i="26"/>
  <c r="K18" i="26"/>
  <c r="O18" i="26"/>
  <c r="F11" i="26"/>
  <c r="F10" i="26" s="1"/>
  <c r="M18" i="26"/>
  <c r="C14" i="26"/>
  <c r="C11" i="26" s="1"/>
  <c r="C10" i="26" s="1"/>
  <c r="H11" i="26"/>
  <c r="H10" i="26" s="1"/>
  <c r="L12" i="26"/>
  <c r="L15" i="26"/>
  <c r="Q15" i="26"/>
  <c r="Q12" i="26"/>
  <c r="O15" i="26"/>
  <c r="O12" i="26"/>
  <c r="K15" i="26"/>
  <c r="K12" i="26"/>
  <c r="M6" i="26" l="1"/>
  <c r="M16" i="26" s="1"/>
  <c r="M15" i="26" s="1"/>
  <c r="M11" i="26" s="1"/>
  <c r="M10" i="26" s="1"/>
  <c r="M6" i="29"/>
  <c r="M16" i="29" s="1"/>
  <c r="M12" i="29" s="1"/>
  <c r="J21" i="28"/>
  <c r="O11" i="26"/>
  <c r="O10" i="26" s="1"/>
  <c r="Q11" i="26"/>
  <c r="Q10" i="26" s="1"/>
  <c r="L11" i="26"/>
  <c r="L10" i="26" s="1"/>
  <c r="I10" i="26"/>
  <c r="B2" i="32" s="1"/>
  <c r="K11" i="26"/>
  <c r="K10" i="26" s="1"/>
  <c r="A3" i="28" l="1"/>
  <c r="M12" i="26"/>
  <c r="M15" i="29"/>
  <c r="M11" i="29" s="1"/>
  <c r="M10" i="29" s="1"/>
  <c r="R10" i="29" s="1"/>
  <c r="R10" i="26"/>
  <c r="B3" i="32" l="1"/>
  <c r="F7" i="23" l="1"/>
  <c r="E7" i="23"/>
  <c r="D7" i="23"/>
  <c r="C7" i="23"/>
  <c r="G7" i="23"/>
  <c r="B7" i="23"/>
  <c r="G5" i="23"/>
  <c r="F5" i="23"/>
  <c r="E5" i="23"/>
  <c r="D5" i="23"/>
  <c r="C5" i="23"/>
  <c r="B5" i="23"/>
  <c r="G3" i="23"/>
  <c r="F3" i="23"/>
  <c r="D3" i="23"/>
  <c r="C3" i="23"/>
  <c r="E3" i="23"/>
  <c r="B3" i="23"/>
  <c r="AA11" i="21" l="1"/>
  <c r="Z23" i="21"/>
  <c r="BK7" i="21"/>
  <c r="BK6" i="21"/>
  <c r="BK5" i="21"/>
  <c r="BK4" i="21"/>
  <c r="BK3" i="21"/>
  <c r="BK10" i="21" s="1"/>
  <c r="Z19" i="21" s="1"/>
  <c r="Q10" i="21"/>
  <c r="AM16" i="21"/>
  <c r="H8" i="21" s="1"/>
  <c r="AM11" i="21"/>
  <c r="BC18" i="21"/>
  <c r="BC17" i="21"/>
  <c r="BC16" i="21"/>
  <c r="BC15" i="21"/>
  <c r="BC14" i="21"/>
  <c r="BC13" i="21"/>
  <c r="BC12" i="21"/>
  <c r="BC10" i="21"/>
  <c r="Q7" i="21" s="1"/>
  <c r="AU10" i="21"/>
  <c r="Q6" i="21" s="1"/>
  <c r="Q18" i="21" s="1"/>
  <c r="Q17" i="21" s="1"/>
  <c r="Q5" i="21"/>
  <c r="H3" i="21"/>
  <c r="H16" i="21" s="1"/>
  <c r="H13" i="21" s="1"/>
  <c r="H12" i="21" s="1"/>
  <c r="H24" i="21" l="1"/>
  <c r="H25" i="21" s="1"/>
  <c r="H23" i="21" s="1"/>
  <c r="Q3" i="21"/>
  <c r="Z3" i="21"/>
  <c r="Z21" i="21" s="1"/>
  <c r="Q14" i="21"/>
  <c r="W15" i="21"/>
  <c r="W26" i="21"/>
  <c r="I9" i="21"/>
  <c r="N27" i="21"/>
  <c r="W27" i="21" s="1"/>
  <c r="N26" i="21"/>
  <c r="N15" i="21"/>
  <c r="AZ13" i="21" s="1"/>
  <c r="N10" i="21"/>
  <c r="N5" i="21"/>
  <c r="BC27" i="21"/>
  <c r="BB27" i="21"/>
  <c r="BA27" i="21"/>
  <c r="AZ27" i="21"/>
  <c r="AY27" i="21"/>
  <c r="AX27" i="21"/>
  <c r="AW27" i="21"/>
  <c r="E26" i="21"/>
  <c r="E15" i="21"/>
  <c r="E3" i="21"/>
  <c r="N3" i="21" s="1"/>
  <c r="D3" i="21"/>
  <c r="D16" i="21" s="1"/>
  <c r="D15" i="21"/>
  <c r="D26" i="21"/>
  <c r="AZ15" i="21"/>
  <c r="AZ14" i="21"/>
  <c r="AZ5" i="21"/>
  <c r="AZ4" i="21"/>
  <c r="AZ3" i="21"/>
  <c r="AZ32" i="21"/>
  <c r="AZ31" i="21"/>
  <c r="AZ30" i="21"/>
  <c r="AR10" i="21"/>
  <c r="N6" i="21" s="1"/>
  <c r="AJ11" i="21"/>
  <c r="AJ16" i="21" s="1"/>
  <c r="E8" i="21" s="1"/>
  <c r="BP12" i="21"/>
  <c r="E28" i="21" s="1"/>
  <c r="BS12" i="21"/>
  <c r="W28" i="21" l="1"/>
  <c r="N28" i="21"/>
  <c r="AZ16" i="21"/>
  <c r="AZ17" i="21"/>
  <c r="Q24" i="21"/>
  <c r="Q25" i="21" s="1"/>
  <c r="Q23" i="21" s="1"/>
  <c r="Q20" i="21"/>
  <c r="Q13" i="21" s="1"/>
  <c r="Q12" i="21" s="1"/>
  <c r="N24" i="21"/>
  <c r="N25" i="21" s="1"/>
  <c r="N23" i="21" s="1"/>
  <c r="N20" i="21"/>
  <c r="E16" i="21"/>
  <c r="E13" i="21" s="1"/>
  <c r="E12" i="21" s="1"/>
  <c r="E24" i="21"/>
  <c r="E25" i="21" s="1"/>
  <c r="E23" i="21" s="1"/>
  <c r="W3" i="21"/>
  <c r="AA9" i="21"/>
  <c r="R9" i="21"/>
  <c r="BH5" i="21"/>
  <c r="BH7" i="21"/>
  <c r="BH3" i="21"/>
  <c r="BH4" i="21"/>
  <c r="AZ18" i="21"/>
  <c r="AZ7" i="21"/>
  <c r="AZ8" i="21"/>
  <c r="AZ6" i="21"/>
  <c r="BH6" i="21" s="1"/>
  <c r="D13" i="21"/>
  <c r="AZ10" i="21" l="1"/>
  <c r="N7" i="21" s="1"/>
  <c r="N18" i="21" s="1"/>
  <c r="N14" i="21" s="1"/>
  <c r="W24" i="21"/>
  <c r="W25" i="21" s="1"/>
  <c r="W23" i="21" s="1"/>
  <c r="W21" i="21"/>
  <c r="BH10" i="21"/>
  <c r="W19" i="21" s="1"/>
  <c r="AZ12" i="21"/>
  <c r="N17" i="21" l="1"/>
  <c r="N13" i="21" s="1"/>
  <c r="N12" i="21" s="1"/>
  <c r="P5" i="21"/>
  <c r="O5" i="21"/>
  <c r="M5" i="21"/>
  <c r="L5" i="21"/>
  <c r="K5" i="21"/>
  <c r="G3" i="21"/>
  <c r="F3" i="21"/>
  <c r="C3" i="21"/>
  <c r="B3" i="21"/>
  <c r="K3" i="21" l="1"/>
  <c r="K20" i="21" s="1"/>
  <c r="L3" i="21"/>
  <c r="L20" i="21" s="1"/>
  <c r="M3" i="21"/>
  <c r="O3" i="21"/>
  <c r="P3" i="21"/>
  <c r="P20" i="21" s="1"/>
  <c r="T3" i="21"/>
  <c r="U3" i="21"/>
  <c r="V3" i="21"/>
  <c r="X3" i="21"/>
  <c r="Y3" i="21"/>
  <c r="AV3" i="21"/>
  <c r="AW3" i="21"/>
  <c r="AX3" i="21"/>
  <c r="BF3" i="21" s="1"/>
  <c r="BA3" i="21"/>
  <c r="BI3" i="21" s="1"/>
  <c r="BB3" i="21"/>
  <c r="BJ3" i="21" s="1"/>
  <c r="BD3" i="21"/>
  <c r="AC24" i="21"/>
  <c r="AC25" i="21" s="1"/>
  <c r="AC23" i="21" s="1"/>
  <c r="AV4" i="21"/>
  <c r="AW4" i="21"/>
  <c r="AX4" i="21"/>
  <c r="BF4" i="21" s="1"/>
  <c r="BA4" i="21"/>
  <c r="BB4" i="21"/>
  <c r="BJ4" i="21" s="1"/>
  <c r="BD4" i="21"/>
  <c r="CB4" i="21"/>
  <c r="CC4" i="21" s="1"/>
  <c r="AV5" i="21"/>
  <c r="AW5" i="21"/>
  <c r="BE5" i="21" s="1"/>
  <c r="AX5" i="21"/>
  <c r="BA5" i="21"/>
  <c r="BI5" i="21" s="1"/>
  <c r="BB5" i="21"/>
  <c r="BD5" i="21"/>
  <c r="CB5" i="21"/>
  <c r="CC5" i="21" s="1"/>
  <c r="CD5" i="21" s="1"/>
  <c r="CE5" i="21" s="1"/>
  <c r="CF5" i="21" s="1"/>
  <c r="CG5" i="21" s="1"/>
  <c r="AV6" i="21"/>
  <c r="AW6" i="21"/>
  <c r="BE6" i="21" s="1"/>
  <c r="AX6" i="21"/>
  <c r="BF6" i="21" s="1"/>
  <c r="BA6" i="21"/>
  <c r="BI6" i="21" s="1"/>
  <c r="BB6" i="21"/>
  <c r="BJ6" i="21" s="1"/>
  <c r="BD6" i="21"/>
  <c r="CB6" i="21"/>
  <c r="CC21" i="21" s="1"/>
  <c r="AV7" i="21"/>
  <c r="AW7" i="21"/>
  <c r="BE7" i="21" s="1"/>
  <c r="AX7" i="21"/>
  <c r="BF7" i="21" s="1"/>
  <c r="BA7" i="21"/>
  <c r="BI7" i="21" s="1"/>
  <c r="BB7" i="21"/>
  <c r="BJ7" i="21" s="1"/>
  <c r="BD7" i="21"/>
  <c r="CB7" i="21"/>
  <c r="CC7" i="21" s="1"/>
  <c r="AV8" i="21"/>
  <c r="AW8" i="21"/>
  <c r="AX8" i="21"/>
  <c r="BA8" i="21"/>
  <c r="BB8" i="21"/>
  <c r="BD8" i="21"/>
  <c r="CB8" i="21"/>
  <c r="CC8" i="21" s="1"/>
  <c r="AV9" i="21"/>
  <c r="BD9" i="21"/>
  <c r="AO10" i="21"/>
  <c r="K6" i="21" s="1"/>
  <c r="AP10" i="21"/>
  <c r="L6" i="21" s="1"/>
  <c r="AQ10" i="21"/>
  <c r="M6" i="21" s="1"/>
  <c r="AS10" i="21"/>
  <c r="O6" i="21" s="1"/>
  <c r="AT10" i="21"/>
  <c r="P6" i="21" s="1"/>
  <c r="AV10" i="21"/>
  <c r="BD10" i="21"/>
  <c r="K10" i="21"/>
  <c r="L10" i="21"/>
  <c r="M10" i="21"/>
  <c r="O10" i="21"/>
  <c r="P10" i="21"/>
  <c r="AG11" i="21"/>
  <c r="AH11" i="21"/>
  <c r="AH16" i="21" s="1"/>
  <c r="C8" i="21" s="1"/>
  <c r="AI11" i="21"/>
  <c r="AK11" i="21"/>
  <c r="AL11" i="21"/>
  <c r="CB11" i="21"/>
  <c r="CC11" i="21" s="1"/>
  <c r="CD11" i="21" s="1"/>
  <c r="CE11" i="21" s="1"/>
  <c r="CF11" i="21" s="1"/>
  <c r="CG11" i="21" s="1"/>
  <c r="BM12" i="21"/>
  <c r="BN12" i="21"/>
  <c r="BO12" i="21"/>
  <c r="D28" i="21" s="1"/>
  <c r="D24" i="21" s="1"/>
  <c r="D25" i="21" s="1"/>
  <c r="D23" i="21" s="1"/>
  <c r="BQ12" i="21"/>
  <c r="BR12" i="21"/>
  <c r="CB12" i="21"/>
  <c r="CC27" i="21" s="1"/>
  <c r="AW13" i="21"/>
  <c r="AX13" i="21"/>
  <c r="BA13" i="21"/>
  <c r="BB13" i="21"/>
  <c r="CB13" i="21"/>
  <c r="CC13" i="21" s="1"/>
  <c r="CD13" i="21" s="1"/>
  <c r="CE13" i="21" s="1"/>
  <c r="CF13" i="21" s="1"/>
  <c r="CG13" i="21" s="1"/>
  <c r="AW14" i="21"/>
  <c r="AX14" i="21"/>
  <c r="BA14" i="21"/>
  <c r="BB14" i="21"/>
  <c r="CB14" i="21"/>
  <c r="AC22" i="21"/>
  <c r="AW15" i="21"/>
  <c r="AX15" i="21"/>
  <c r="BA15" i="21"/>
  <c r="BB15" i="21"/>
  <c r="CB15" i="21"/>
  <c r="CC15" i="21" s="1"/>
  <c r="CD15" i="21" s="1"/>
  <c r="CE15" i="21" s="1"/>
  <c r="CF15" i="21" s="1"/>
  <c r="CG15" i="21" s="1"/>
  <c r="AG16" i="21"/>
  <c r="B8" i="21" s="1"/>
  <c r="AW16" i="21"/>
  <c r="AX16" i="21"/>
  <c r="BA16" i="21"/>
  <c r="BB16" i="21"/>
  <c r="G13" i="21"/>
  <c r="AW17" i="21"/>
  <c r="AX17" i="21"/>
  <c r="BA17" i="21"/>
  <c r="BB17" i="21"/>
  <c r="AW18" i="21"/>
  <c r="AX18" i="21"/>
  <c r="BA18" i="21"/>
  <c r="BB18" i="21"/>
  <c r="M15" i="21"/>
  <c r="AY6" i="21" s="1"/>
  <c r="V15" i="21"/>
  <c r="CB19" i="21"/>
  <c r="B16" i="21"/>
  <c r="B13" i="21" s="1"/>
  <c r="C16" i="21"/>
  <c r="C13" i="21" s="1"/>
  <c r="F16" i="21"/>
  <c r="F13" i="21" s="1"/>
  <c r="G16" i="21"/>
  <c r="CB20" i="21"/>
  <c r="CB21" i="21"/>
  <c r="CB22" i="21"/>
  <c r="CB23" i="21"/>
  <c r="CB26" i="21"/>
  <c r="M26" i="21"/>
  <c r="V26" i="21"/>
  <c r="CB27" i="21"/>
  <c r="M27" i="21"/>
  <c r="V27" i="21" s="1"/>
  <c r="CB28" i="21"/>
  <c r="CB29" i="21"/>
  <c r="CB30" i="21"/>
  <c r="AY30" i="21"/>
  <c r="AY31" i="21"/>
  <c r="AY32" i="21"/>
  <c r="AY35" i="21"/>
  <c r="CC6" i="21" l="1"/>
  <c r="CD21" i="21" s="1"/>
  <c r="AY14" i="21"/>
  <c r="C12" i="21"/>
  <c r="AY16" i="21"/>
  <c r="M20" i="21"/>
  <c r="AY17" i="21"/>
  <c r="AY4" i="21"/>
  <c r="BG4" i="21" s="1"/>
  <c r="AY13" i="21"/>
  <c r="AX12" i="21"/>
  <c r="C28" i="21" s="1"/>
  <c r="BB10" i="21"/>
  <c r="P7" i="21" s="1"/>
  <c r="P18" i="21" s="1"/>
  <c r="CC19" i="21"/>
  <c r="CC20" i="21"/>
  <c r="CC22" i="21"/>
  <c r="CE20" i="21"/>
  <c r="CC26" i="21"/>
  <c r="CC28" i="21"/>
  <c r="CE28" i="21"/>
  <c r="CD28" i="21"/>
  <c r="CD26" i="21"/>
  <c r="CC23" i="21"/>
  <c r="V21" i="21"/>
  <c r="AK16" i="21"/>
  <c r="F8" i="21" s="1"/>
  <c r="F12" i="21" s="1"/>
  <c r="AW12" i="21"/>
  <c r="B28" i="21" s="1"/>
  <c r="B24" i="21" s="1"/>
  <c r="B12" i="21"/>
  <c r="BB12" i="21"/>
  <c r="G28" i="21" s="1"/>
  <c r="G24" i="21" s="1"/>
  <c r="AI16" i="21"/>
  <c r="D8" i="21" s="1"/>
  <c r="D12" i="21" s="1"/>
  <c r="CD22" i="21"/>
  <c r="BF5" i="21"/>
  <c r="BF10" i="21" s="1"/>
  <c r="U19" i="21" s="1"/>
  <c r="AX10" i="21"/>
  <c r="BA10" i="21"/>
  <c r="O7" i="21" s="1"/>
  <c r="BI4" i="21"/>
  <c r="BI10" i="21" s="1"/>
  <c r="X19" i="21" s="1"/>
  <c r="BA12" i="21"/>
  <c r="F28" i="21" s="1"/>
  <c r="F24" i="21" s="1"/>
  <c r="CE30" i="21"/>
  <c r="CF30" i="21"/>
  <c r="CD30" i="21"/>
  <c r="BG6" i="21"/>
  <c r="CF28" i="21"/>
  <c r="CD23" i="21"/>
  <c r="CD8" i="21"/>
  <c r="CE8" i="21" s="1"/>
  <c r="CF8" i="21" s="1"/>
  <c r="CG8" i="21" s="1"/>
  <c r="CD19" i="21"/>
  <c r="CD4" i="21"/>
  <c r="CE4" i="21" s="1"/>
  <c r="CF4" i="21" s="1"/>
  <c r="CG4" i="21" s="1"/>
  <c r="AL16" i="21"/>
  <c r="G8" i="21" s="1"/>
  <c r="G12" i="21" s="1"/>
  <c r="T21" i="21"/>
  <c r="O20" i="21"/>
  <c r="CC14" i="21"/>
  <c r="CD14" i="21" s="1"/>
  <c r="CE14" i="21" s="1"/>
  <c r="CF14" i="21" s="1"/>
  <c r="CG14" i="21" s="1"/>
  <c r="CC29" i="21"/>
  <c r="CC30" i="21"/>
  <c r="CC12" i="21"/>
  <c r="BE3" i="21"/>
  <c r="AW10" i="21"/>
  <c r="K7" i="21" s="1"/>
  <c r="K18" i="21" s="1"/>
  <c r="CD7" i="21"/>
  <c r="CE7" i="21" s="1"/>
  <c r="CF7" i="21" s="1"/>
  <c r="CG7" i="21" s="1"/>
  <c r="BE4" i="21"/>
  <c r="CF26" i="21"/>
  <c r="AY18" i="21"/>
  <c r="AY3" i="21"/>
  <c r="CE26" i="21"/>
  <c r="BJ5" i="21"/>
  <c r="BJ10" i="21" s="1"/>
  <c r="Y19" i="21" s="1"/>
  <c r="AY5" i="21"/>
  <c r="BG5" i="21" s="1"/>
  <c r="CF20" i="21"/>
  <c r="CD20" i="21"/>
  <c r="AY15" i="21"/>
  <c r="AY8" i="21"/>
  <c r="AY7" i="21"/>
  <c r="BG7" i="21" s="1"/>
  <c r="I12" i="21" l="1"/>
  <c r="Z18" i="21"/>
  <c r="V18" i="21"/>
  <c r="X18" i="21"/>
  <c r="Y18" i="21"/>
  <c r="W18" i="21"/>
  <c r="CD6" i="21"/>
  <c r="CE6" i="21" s="1"/>
  <c r="CF6" i="21" s="1"/>
  <c r="CG6" i="21" s="1"/>
  <c r="C24" i="21"/>
  <c r="C25" i="21" s="1"/>
  <c r="C23" i="21" s="1"/>
  <c r="L28" i="21"/>
  <c r="L24" i="21" s="1"/>
  <c r="L25" i="21" s="1"/>
  <c r="L23" i="21" s="1"/>
  <c r="U28" i="21"/>
  <c r="U24" i="21" s="1"/>
  <c r="U25" i="21" s="1"/>
  <c r="U23" i="21" s="1"/>
  <c r="P14" i="21"/>
  <c r="P17" i="21"/>
  <c r="P13" i="21" s="1"/>
  <c r="P12" i="21" s="1"/>
  <c r="L7" i="21"/>
  <c r="L18" i="21" s="1"/>
  <c r="CE23" i="21"/>
  <c r="CF23" i="21"/>
  <c r="CE19" i="21"/>
  <c r="CF19" i="21"/>
  <c r="CD29" i="21"/>
  <c r="CF29" i="21"/>
  <c r="Y28" i="21"/>
  <c r="Y24" i="21" s="1"/>
  <c r="Y25" i="21" s="1"/>
  <c r="Y23" i="21" s="1"/>
  <c r="G25" i="21"/>
  <c r="G23" i="21" s="1"/>
  <c r="P28" i="21"/>
  <c r="P24" i="21" s="1"/>
  <c r="K28" i="21"/>
  <c r="K24" i="21" s="1"/>
  <c r="B25" i="21"/>
  <c r="B23" i="21" s="1"/>
  <c r="T28" i="21"/>
  <c r="CD12" i="21"/>
  <c r="CE12" i="21" s="1"/>
  <c r="CF12" i="21" s="1"/>
  <c r="CG12" i="21" s="1"/>
  <c r="CD27" i="21"/>
  <c r="BA35" i="21"/>
  <c r="O18" i="21"/>
  <c r="BE10" i="21"/>
  <c r="T19" i="21" s="1"/>
  <c r="U18" i="21" s="1"/>
  <c r="K14" i="21"/>
  <c r="K17" i="21"/>
  <c r="K13" i="21" s="1"/>
  <c r="K12" i="21" s="1"/>
  <c r="X21" i="21"/>
  <c r="AY12" i="21"/>
  <c r="CF22" i="21"/>
  <c r="AY10" i="21"/>
  <c r="BG3" i="21"/>
  <c r="BG10" i="21" s="1"/>
  <c r="V19" i="21" s="1"/>
  <c r="CE22" i="21"/>
  <c r="CE29" i="21"/>
  <c r="U21" i="21"/>
  <c r="Y21" i="21"/>
  <c r="O28" i="21"/>
  <c r="O24" i="21" s="1"/>
  <c r="X28" i="21"/>
  <c r="X24" i="21" s="1"/>
  <c r="T18" i="21" l="1"/>
  <c r="X20" i="21"/>
  <c r="Z14" i="21"/>
  <c r="Z17" i="21"/>
  <c r="U20" i="21"/>
  <c r="Y20" i="21"/>
  <c r="Z20" i="21"/>
  <c r="V20" i="21"/>
  <c r="W20" i="21"/>
  <c r="T20" i="21"/>
  <c r="W14" i="21"/>
  <c r="CF21" i="21"/>
  <c r="CE21" i="21"/>
  <c r="T24" i="21"/>
  <c r="T25" i="21" s="1"/>
  <c r="T23" i="21" s="1"/>
  <c r="L14" i="21"/>
  <c r="L17" i="21"/>
  <c r="L13" i="21" s="1"/>
  <c r="L12" i="21" s="1"/>
  <c r="M7" i="21"/>
  <c r="M18" i="21" s="1"/>
  <c r="CF27" i="21"/>
  <c r="K25" i="21"/>
  <c r="K23" i="21" s="1"/>
  <c r="P25" i="21"/>
  <c r="P23" i="21" s="1"/>
  <c r="F25" i="21"/>
  <c r="F23" i="21" s="1"/>
  <c r="I23" i="21" s="1"/>
  <c r="V28" i="21"/>
  <c r="V24" i="21" s="1"/>
  <c r="M28" i="21"/>
  <c r="M24" i="21" s="1"/>
  <c r="X25" i="21"/>
  <c r="X23" i="21" s="1"/>
  <c r="CE27" i="21"/>
  <c r="O14" i="21"/>
  <c r="O17" i="21"/>
  <c r="O13" i="21" s="1"/>
  <c r="O12" i="21" s="1"/>
  <c r="O25" i="21"/>
  <c r="O23" i="21" s="1"/>
  <c r="Z13" i="21" l="1"/>
  <c r="Z12" i="21" s="1"/>
  <c r="W17" i="21"/>
  <c r="W13" i="21" s="1"/>
  <c r="W12" i="21" s="1"/>
  <c r="M14" i="21"/>
  <c r="M17" i="21"/>
  <c r="M13" i="21" s="1"/>
  <c r="M12" i="21" s="1"/>
  <c r="R12" i="21" s="1"/>
  <c r="U14" i="21"/>
  <c r="U17" i="21"/>
  <c r="U13" i="21" s="1"/>
  <c r="U12" i="21" s="1"/>
  <c r="V25" i="21"/>
  <c r="V23" i="21" s="1"/>
  <c r="AA23" i="21" s="1"/>
  <c r="T14" i="21"/>
  <c r="T17" i="21"/>
  <c r="T13" i="21" s="1"/>
  <c r="T12" i="21" s="1"/>
  <c r="X14" i="21"/>
  <c r="X17" i="21"/>
  <c r="X13" i="21" s="1"/>
  <c r="X12" i="21" s="1"/>
  <c r="V17" i="21"/>
  <c r="V13" i="21" s="1"/>
  <c r="V12" i="21" s="1"/>
  <c r="V14" i="21"/>
  <c r="Y14" i="21"/>
  <c r="Y17" i="21"/>
  <c r="Y13" i="21" s="1"/>
  <c r="Y12" i="21" s="1"/>
  <c r="M25" i="21"/>
  <c r="M23" i="21" s="1"/>
  <c r="R23" i="21" s="1"/>
  <c r="AA12" i="21" l="1"/>
</calcChain>
</file>

<file path=xl/sharedStrings.xml><?xml version="1.0" encoding="utf-8"?>
<sst xmlns="http://schemas.openxmlformats.org/spreadsheetml/2006/main" count="507" uniqueCount="112">
  <si>
    <t>Yield</t>
  </si>
  <si>
    <t>Pre-Harvest and Harvest Machinery</t>
  </si>
  <si>
    <t>Irrigation Equipment</t>
  </si>
  <si>
    <t>Miscellaneous Overhead</t>
  </si>
  <si>
    <t>Acres</t>
  </si>
  <si>
    <t>Owned Land</t>
  </si>
  <si>
    <t>Corn</t>
  </si>
  <si>
    <t>Cotton</t>
  </si>
  <si>
    <t>Rice</t>
  </si>
  <si>
    <t>Soybean</t>
  </si>
  <si>
    <t>Sorghum</t>
  </si>
  <si>
    <t>Wheat</t>
  </si>
  <si>
    <t>Total</t>
  </si>
  <si>
    <t>Labor, Field Activities</t>
  </si>
  <si>
    <t>Farm Price</t>
  </si>
  <si>
    <t>Harvest Labor</t>
  </si>
  <si>
    <t>Pre-Harvest Labor</t>
  </si>
  <si>
    <t xml:space="preserve">   Promotions, Boards, Classing</t>
  </si>
  <si>
    <t xml:space="preserve">   Storage and Warehousing</t>
  </si>
  <si>
    <t xml:space="preserve">   Hauling, Ginning</t>
  </si>
  <si>
    <t>Interest, Annual Rate for 6 Months</t>
  </si>
  <si>
    <t>Scouting/Consultant Fee</t>
  </si>
  <si>
    <t>Other Inputs, Survey Levees</t>
  </si>
  <si>
    <t>Supplies (ex. polypipe, levee gates, other)</t>
  </si>
  <si>
    <t>Irrigation System Repairs &amp; Maintenance</t>
  </si>
  <si>
    <t>Irrigation Energy Cost</t>
  </si>
  <si>
    <t xml:space="preserve">   Repairs and Maintenance, Harvest</t>
  </si>
  <si>
    <t xml:space="preserve">   Diesel Fuel, Harvest</t>
  </si>
  <si>
    <t xml:space="preserve">   Repairs and Maintenance, Pre-Post Harvest</t>
  </si>
  <si>
    <t xml:space="preserve">   Diesel Fuel, Pre-Post Harvest</t>
  </si>
  <si>
    <t>Custom Chemical &amp; Fertilizer Applications</t>
  </si>
  <si>
    <t>Other Chemicals</t>
  </si>
  <si>
    <t>Insecticide</t>
  </si>
  <si>
    <t>Herbicide</t>
  </si>
  <si>
    <t>Other Nutrients</t>
  </si>
  <si>
    <t>Potash (K2O)</t>
  </si>
  <si>
    <t>Phosphate (P2O5)</t>
  </si>
  <si>
    <t>Nitrogen</t>
  </si>
  <si>
    <t>Boll Weevil Eradication Fee</t>
  </si>
  <si>
    <t>Seed, Includes All Fees</t>
  </si>
  <si>
    <t>NA</t>
  </si>
  <si>
    <t>Yield Change</t>
  </si>
  <si>
    <t>Closing Futures 3/19/2014</t>
  </si>
  <si>
    <t>Price Change</t>
  </si>
  <si>
    <t>Low</t>
  </si>
  <si>
    <t>5-Year</t>
  </si>
  <si>
    <t>Rice, LG</t>
  </si>
  <si>
    <t>Year</t>
  </si>
  <si>
    <t>Yield Wedge: County minus Farm</t>
  </si>
  <si>
    <t>FAPRI Price</t>
  </si>
  <si>
    <t>Price Wedge: Arkansas minus U.S.</t>
  </si>
  <si>
    <t>Expected: National Price - AWP</t>
  </si>
  <si>
    <t>National Loan Rate</t>
  </si>
  <si>
    <t xml:space="preserve">LDP Rate Paid </t>
  </si>
  <si>
    <t>County Yield</t>
  </si>
  <si>
    <t>Revenue Component (ARC Individual)</t>
  </si>
  <si>
    <t>Actual Crop Revenue</t>
  </si>
  <si>
    <t>Benchmark Component (ARC Individual)</t>
  </si>
  <si>
    <t>Benchmark Revenue</t>
  </si>
  <si>
    <t>ARC Guarantee</t>
  </si>
  <si>
    <t>Effective Price</t>
  </si>
  <si>
    <t>National Price</t>
  </si>
  <si>
    <t>Reference Price</t>
  </si>
  <si>
    <t>Maximum Payment Rate, if Applicable</t>
  </si>
  <si>
    <t>Olympic Averages</t>
  </si>
  <si>
    <t>Payment Rate</t>
  </si>
  <si>
    <t>2008-2012 average farm yield</t>
  </si>
  <si>
    <t>Transitional Payment</t>
  </si>
  <si>
    <t>May update payment yield with 90% of</t>
  </si>
  <si>
    <t>Payment (PLC or ARC)</t>
  </si>
  <si>
    <t>Marketing Loan Gains</t>
  </si>
  <si>
    <t>Not in Farm Bill calculations, used only to determine national-state price wedge</t>
  </si>
  <si>
    <t>2008-2012</t>
  </si>
  <si>
    <t>Average</t>
  </si>
  <si>
    <t>Planted Acreage</t>
  </si>
  <si>
    <t>Share Percent</t>
  </si>
  <si>
    <t>2009-2013</t>
  </si>
  <si>
    <t>Olympic Average</t>
  </si>
  <si>
    <t>Payment Acres (Base Acres)</t>
  </si>
  <si>
    <t xml:space="preserve">Payment Yield </t>
  </si>
  <si>
    <t>Olympic Average National Price</t>
  </si>
  <si>
    <t>Olympic Average County Yield, Planted</t>
  </si>
  <si>
    <t>County Yield, Planted, Actual</t>
  </si>
  <si>
    <t>Farm Yield, Planted Acreage</t>
  </si>
  <si>
    <t>Price and Yield</t>
  </si>
  <si>
    <t>Series</t>
  </si>
  <si>
    <t>State Price</t>
  </si>
  <si>
    <t>ARC (Individual) Farm Revenue</t>
  </si>
  <si>
    <t>National Price (Applied)</t>
  </si>
  <si>
    <t>Farm Yield</t>
  </si>
  <si>
    <t>Cotton 2014</t>
  </si>
  <si>
    <t>Agricultural Risk Coverage (Individual)</t>
  </si>
  <si>
    <t>Agricultural Risk Coverage (County)</t>
  </si>
  <si>
    <t>Price Loss Coverage</t>
  </si>
  <si>
    <t>Bu.</t>
  </si>
  <si>
    <t>Unit</t>
  </si>
  <si>
    <t>Rented Land</t>
  </si>
  <si>
    <t>Rice, MG</t>
  </si>
  <si>
    <t>Peanut</t>
  </si>
  <si>
    <t>Ton</t>
  </si>
  <si>
    <t>Avg.</t>
  </si>
  <si>
    <t>Average 2008-2012</t>
  </si>
  <si>
    <t>PLC</t>
  </si>
  <si>
    <t>ARC</t>
  </si>
  <si>
    <t>Total PLC &amp; ARC Receipts</t>
  </si>
  <si>
    <t>Acreage</t>
  </si>
  <si>
    <t>LDP - Share Rented Land</t>
  </si>
  <si>
    <t>LDP - Owned &amp; Cash Rented Land</t>
  </si>
  <si>
    <t>Total LDP Receipts</t>
  </si>
  <si>
    <t>Farm</t>
  </si>
  <si>
    <t>Enter yield and acreage for each farm. Do not enter 0. Clear with "delete" key farm yields with 0 acreage.</t>
  </si>
  <si>
    <t>Olympic Average 2011-2015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</si>
</sst>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#,##0.0"/>
  </numFmts>
  <fonts count="29" x14ac:knownFonts="1">
    <font>
      <sz val="11"/>
      <color theme="1"/>
      <name val="Times New Roman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color theme="1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1"/>
      <name val="Times New Roman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3637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0" borderId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7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" fillId="32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</cellStyleXfs>
  <cellXfs count="607">
    <xf numFmtId="0" fontId="0" fillId="0" borderId="0" xfId="0"/>
    <xf numFmtId="0" fontId="0" fillId="34" borderId="20" xfId="0" applyFill="1" applyBorder="1"/>
    <xf numFmtId="0" fontId="0" fillId="33" borderId="0" xfId="0" applyFill="1"/>
    <xf numFmtId="2" fontId="0" fillId="33" borderId="0" xfId="0" applyNumberFormat="1" applyFill="1" applyBorder="1"/>
    <xf numFmtId="0" fontId="0" fillId="33" borderId="0" xfId="0" applyFill="1" applyBorder="1"/>
    <xf numFmtId="0" fontId="0" fillId="34" borderId="0" xfId="0" applyFill="1" applyBorder="1"/>
    <xf numFmtId="0" fontId="0" fillId="34" borderId="30" xfId="0" applyFill="1" applyBorder="1"/>
    <xf numFmtId="0" fontId="0" fillId="36" borderId="33" xfId="0" applyFill="1" applyBorder="1" applyAlignment="1">
      <alignment horizontal="center"/>
    </xf>
    <xf numFmtId="3" fontId="0" fillId="39" borderId="0" xfId="0" applyNumberFormat="1" applyFill="1" applyBorder="1"/>
    <xf numFmtId="3" fontId="0" fillId="39" borderId="16" xfId="0" applyNumberFormat="1" applyFill="1" applyBorder="1"/>
    <xf numFmtId="0" fontId="0" fillId="42" borderId="0" xfId="0" applyFill="1"/>
    <xf numFmtId="2" fontId="0" fillId="0" borderId="0" xfId="0" applyNumberFormat="1"/>
    <xf numFmtId="0" fontId="0" fillId="34" borderId="0" xfId="0" applyFill="1" applyBorder="1" applyProtection="1"/>
    <xf numFmtId="0" fontId="0" fillId="34" borderId="0" xfId="0" applyFill="1" applyBorder="1" applyProtection="1">
      <protection locked="0"/>
    </xf>
    <xf numFmtId="4" fontId="0" fillId="34" borderId="0" xfId="0" applyNumberFormat="1" applyFill="1" applyBorder="1" applyProtection="1"/>
    <xf numFmtId="0" fontId="0" fillId="34" borderId="24" xfId="0" applyFill="1" applyBorder="1"/>
    <xf numFmtId="2" fontId="0" fillId="33" borderId="23" xfId="0" applyNumberFormat="1" applyFill="1" applyBorder="1"/>
    <xf numFmtId="2" fontId="24" fillId="33" borderId="23" xfId="0" applyNumberFormat="1" applyFont="1" applyFill="1" applyBorder="1"/>
    <xf numFmtId="0" fontId="0" fillId="34" borderId="32" xfId="0" applyFill="1" applyBorder="1"/>
    <xf numFmtId="0" fontId="0" fillId="34" borderId="22" xfId="0" applyFill="1" applyBorder="1"/>
    <xf numFmtId="16" fontId="0" fillId="44" borderId="33" xfId="0" applyNumberFormat="1" applyFill="1" applyBorder="1"/>
    <xf numFmtId="0" fontId="0" fillId="44" borderId="33" xfId="0" applyFill="1" applyBorder="1" applyAlignment="1">
      <alignment horizontal="center"/>
    </xf>
    <xf numFmtId="14" fontId="0" fillId="33" borderId="0" xfId="0" quotePrefix="1" applyNumberFormat="1" applyFill="1" applyBorder="1" applyAlignment="1">
      <alignment horizontal="left"/>
    </xf>
    <xf numFmtId="165" fontId="0" fillId="44" borderId="24" xfId="0" applyNumberFormat="1" applyFill="1" applyBorder="1"/>
    <xf numFmtId="165" fontId="0" fillId="44" borderId="23" xfId="0" applyNumberFormat="1" applyFill="1" applyBorder="1"/>
    <xf numFmtId="0" fontId="0" fillId="44" borderId="23" xfId="0" applyFill="1" applyBorder="1"/>
    <xf numFmtId="0" fontId="0" fillId="44" borderId="32" xfId="0" applyFill="1" applyBorder="1"/>
    <xf numFmtId="0" fontId="0" fillId="34" borderId="41" xfId="0" applyFill="1" applyBorder="1"/>
    <xf numFmtId="0" fontId="25" fillId="33" borderId="33" xfId="0" applyFont="1" applyFill="1" applyBorder="1" applyAlignment="1">
      <alignment horizontal="centerContinuous"/>
    </xf>
    <xf numFmtId="0" fontId="26" fillId="33" borderId="33" xfId="0" applyFont="1" applyFill="1" applyBorder="1" applyAlignment="1">
      <alignment horizontal="centerContinuous"/>
    </xf>
    <xf numFmtId="0" fontId="0" fillId="34" borderId="25" xfId="0" applyFill="1" applyBorder="1"/>
    <xf numFmtId="0" fontId="0" fillId="33" borderId="0" xfId="0" applyFill="1" applyBorder="1" applyAlignment="1">
      <alignment horizontal="right"/>
    </xf>
    <xf numFmtId="0" fontId="0" fillId="33" borderId="0" xfId="0" applyFill="1" applyAlignment="1">
      <alignment horizontal="right"/>
    </xf>
    <xf numFmtId="165" fontId="0" fillId="44" borderId="41" xfId="0" applyNumberFormat="1" applyFill="1" applyBorder="1"/>
    <xf numFmtId="165" fontId="0" fillId="44" borderId="31" xfId="0" applyNumberFormat="1" applyFill="1" applyBorder="1"/>
    <xf numFmtId="0" fontId="0" fillId="44" borderId="31" xfId="0" applyFill="1" applyBorder="1"/>
    <xf numFmtId="0" fontId="0" fillId="44" borderId="29" xfId="0" applyFill="1" applyBorder="1"/>
    <xf numFmtId="0" fontId="0" fillId="33" borderId="23" xfId="0" applyFill="1" applyBorder="1"/>
    <xf numFmtId="4" fontId="0" fillId="33" borderId="23" xfId="0" applyNumberFormat="1" applyFill="1" applyBorder="1"/>
    <xf numFmtId="0" fontId="0" fillId="34" borderId="23" xfId="0" applyFill="1" applyBorder="1"/>
    <xf numFmtId="0" fontId="0" fillId="33" borderId="32" xfId="0" applyFill="1" applyBorder="1" applyAlignment="1">
      <alignment horizontal="right"/>
    </xf>
    <xf numFmtId="4" fontId="0" fillId="33" borderId="0" xfId="0" applyNumberFormat="1" applyFill="1" applyBorder="1"/>
    <xf numFmtId="1" fontId="0" fillId="33" borderId="20" xfId="0" applyNumberFormat="1" applyFill="1" applyBorder="1"/>
    <xf numFmtId="0" fontId="0" fillId="45" borderId="23" xfId="0" applyFill="1" applyBorder="1"/>
    <xf numFmtId="164" fontId="0" fillId="0" borderId="23" xfId="0" applyNumberFormat="1" applyBorder="1"/>
    <xf numFmtId="164" fontId="0" fillId="0" borderId="23" xfId="0" applyNumberFormat="1" applyFill="1" applyBorder="1"/>
    <xf numFmtId="0" fontId="0" fillId="0" borderId="23" xfId="0" applyBorder="1"/>
    <xf numFmtId="4" fontId="0" fillId="33" borderId="31" xfId="0" applyNumberFormat="1" applyFill="1" applyBorder="1"/>
    <xf numFmtId="0" fontId="0" fillId="34" borderId="31" xfId="0" applyFill="1" applyBorder="1"/>
    <xf numFmtId="1" fontId="0" fillId="33" borderId="27" xfId="0" applyNumberFormat="1" applyFill="1" applyBorder="1"/>
    <xf numFmtId="0" fontId="0" fillId="34" borderId="33" xfId="0" applyFill="1" applyBorder="1" applyProtection="1"/>
    <xf numFmtId="0" fontId="0" fillId="44" borderId="33" xfId="0" applyFill="1" applyBorder="1" applyAlignment="1" applyProtection="1">
      <alignment horizontal="center"/>
    </xf>
    <xf numFmtId="0" fontId="0" fillId="44" borderId="26" xfId="0" applyFill="1" applyBorder="1" applyAlignment="1" applyProtection="1">
      <alignment horizontal="center"/>
    </xf>
    <xf numFmtId="0" fontId="23" fillId="44" borderId="42" xfId="0" applyFont="1" applyFill="1" applyBorder="1" applyAlignment="1" applyProtection="1">
      <alignment horizontal="center"/>
    </xf>
    <xf numFmtId="0" fontId="0" fillId="45" borderId="0" xfId="0" applyFill="1" applyBorder="1"/>
    <xf numFmtId="164" fontId="0" fillId="0" borderId="0" xfId="0" applyNumberFormat="1" applyBorder="1"/>
    <xf numFmtId="164" fontId="0" fillId="0" borderId="0" xfId="0" applyNumberFormat="1" applyFill="1" applyBorder="1"/>
    <xf numFmtId="0" fontId="0" fillId="0" borderId="0" xfId="0" applyBorder="1"/>
    <xf numFmtId="0" fontId="0" fillId="34" borderId="26" xfId="0" applyFill="1" applyBorder="1"/>
    <xf numFmtId="0" fontId="0" fillId="44" borderId="26" xfId="0" applyFill="1" applyBorder="1" applyAlignment="1">
      <alignment horizontal="center"/>
    </xf>
    <xf numFmtId="0" fontId="0" fillId="34" borderId="33" xfId="0" applyFill="1" applyBorder="1"/>
    <xf numFmtId="0" fontId="0" fillId="44" borderId="25" xfId="0" applyFill="1" applyBorder="1" applyAlignment="1">
      <alignment horizontal="right"/>
    </xf>
    <xf numFmtId="0" fontId="0" fillId="34" borderId="21" xfId="0" applyFill="1" applyBorder="1" applyProtection="1"/>
    <xf numFmtId="0" fontId="0" fillId="34" borderId="28" xfId="0" applyFill="1" applyBorder="1" applyProtection="1"/>
    <xf numFmtId="164" fontId="0" fillId="34" borderId="28" xfId="0" applyNumberFormat="1" applyFill="1" applyBorder="1" applyAlignment="1" applyProtection="1">
      <alignment horizontal="right"/>
    </xf>
    <xf numFmtId="164" fontId="0" fillId="34" borderId="10" xfId="0" applyNumberFormat="1" applyFill="1" applyBorder="1" applyAlignment="1" applyProtection="1">
      <alignment horizontal="right"/>
    </xf>
    <xf numFmtId="0" fontId="0" fillId="34" borderId="10" xfId="0" applyFill="1" applyBorder="1" applyAlignment="1" applyProtection="1">
      <alignment horizontal="right"/>
    </xf>
    <xf numFmtId="0" fontId="0" fillId="34" borderId="28" xfId="0" applyFill="1" applyBorder="1" applyProtection="1">
      <protection locked="0"/>
    </xf>
    <xf numFmtId="164" fontId="0" fillId="33" borderId="10" xfId="0" applyNumberFormat="1" applyFill="1" applyBorder="1" applyProtection="1">
      <protection locked="0"/>
    </xf>
    <xf numFmtId="0" fontId="0" fillId="33" borderId="10" xfId="0" applyFill="1" applyBorder="1" applyProtection="1">
      <protection locked="0"/>
    </xf>
    <xf numFmtId="164" fontId="0" fillId="34" borderId="10" xfId="0" applyNumberFormat="1" applyFill="1" applyBorder="1" applyProtection="1"/>
    <xf numFmtId="0" fontId="0" fillId="34" borderId="10" xfId="0" applyFill="1" applyBorder="1" applyProtection="1"/>
    <xf numFmtId="0" fontId="0" fillId="34" borderId="26" xfId="0" applyFill="1" applyBorder="1" applyProtection="1"/>
    <xf numFmtId="0" fontId="0" fillId="46" borderId="40" xfId="0" applyFill="1" applyBorder="1" applyProtection="1"/>
    <xf numFmtId="0" fontId="0" fillId="45" borderId="0" xfId="0" applyFill="1"/>
    <xf numFmtId="164" fontId="0" fillId="0" borderId="0" xfId="0" applyNumberFormat="1"/>
    <xf numFmtId="164" fontId="0" fillId="0" borderId="0" xfId="0" applyNumberFormat="1" applyFill="1"/>
    <xf numFmtId="0" fontId="25" fillId="33" borderId="23" xfId="0" applyFont="1" applyFill="1" applyBorder="1" applyAlignment="1">
      <alignment horizontal="centerContinuous"/>
    </xf>
    <xf numFmtId="0" fontId="26" fillId="33" borderId="23" xfId="0" applyFont="1" applyFill="1" applyBorder="1" applyAlignment="1">
      <alignment horizontal="centerContinuous"/>
    </xf>
    <xf numFmtId="165" fontId="0" fillId="46" borderId="43" xfId="0" applyNumberFormat="1" applyFill="1" applyBorder="1" applyProtection="1"/>
    <xf numFmtId="2" fontId="0" fillId="34" borderId="0" xfId="0" applyNumberFormat="1" applyFill="1" applyBorder="1" applyProtection="1"/>
    <xf numFmtId="2" fontId="0" fillId="46" borderId="28" xfId="0" applyNumberFormat="1" applyFill="1" applyBorder="1" applyProtection="1"/>
    <xf numFmtId="2" fontId="0" fillId="46" borderId="24" xfId="0" applyNumberFormat="1" applyFill="1" applyBorder="1" applyProtection="1"/>
    <xf numFmtId="165" fontId="0" fillId="33" borderId="21" xfId="0" applyNumberFormat="1" applyFill="1" applyBorder="1" applyProtection="1">
      <protection locked="0"/>
    </xf>
    <xf numFmtId="0" fontId="0" fillId="34" borderId="23" xfId="0" applyFill="1" applyBorder="1" applyProtection="1">
      <protection locked="0"/>
    </xf>
    <xf numFmtId="0" fontId="0" fillId="47" borderId="10" xfId="0" applyFill="1" applyBorder="1" applyAlignment="1" applyProtection="1">
      <alignment horizontal="right"/>
    </xf>
    <xf numFmtId="2" fontId="0" fillId="33" borderId="10" xfId="0" applyNumberFormat="1" applyFill="1" applyBorder="1" applyProtection="1"/>
    <xf numFmtId="0" fontId="0" fillId="34" borderId="23" xfId="0" applyFill="1" applyBorder="1" applyProtection="1"/>
    <xf numFmtId="2" fontId="0" fillId="33" borderId="10" xfId="0" applyNumberFormat="1" applyFill="1" applyBorder="1" applyProtection="1">
      <protection locked="0"/>
    </xf>
    <xf numFmtId="0" fontId="0" fillId="47" borderId="26" xfId="0" applyFill="1" applyBorder="1" applyAlignment="1" applyProtection="1">
      <alignment horizontal="right"/>
    </xf>
    <xf numFmtId="0" fontId="0" fillId="48" borderId="44" xfId="0" applyFill="1" applyBorder="1" applyProtection="1"/>
    <xf numFmtId="165" fontId="0" fillId="47" borderId="39" xfId="0" applyNumberFormat="1" applyFill="1" applyBorder="1" applyProtection="1"/>
    <xf numFmtId="2" fontId="0" fillId="47" borderId="0" xfId="0" applyNumberFormat="1" applyFill="1" applyBorder="1" applyProtection="1"/>
    <xf numFmtId="0" fontId="0" fillId="48" borderId="40" xfId="0" applyFill="1" applyBorder="1" applyProtection="1"/>
    <xf numFmtId="1" fontId="0" fillId="33" borderId="28" xfId="0" applyNumberFormat="1" applyFill="1" applyBorder="1"/>
    <xf numFmtId="2" fontId="0" fillId="48" borderId="18" xfId="0" applyNumberFormat="1" applyFill="1" applyBorder="1" applyProtection="1"/>
    <xf numFmtId="2" fontId="0" fillId="48" borderId="0" xfId="0" applyNumberFormat="1" applyFill="1" applyBorder="1" applyProtection="1"/>
    <xf numFmtId="2" fontId="0" fillId="33" borderId="33" xfId="0" applyNumberFormat="1" applyFill="1" applyBorder="1"/>
    <xf numFmtId="2" fontId="0" fillId="0" borderId="33" xfId="0" applyNumberFormat="1" applyFill="1" applyBorder="1"/>
    <xf numFmtId="0" fontId="0" fillId="33" borderId="33" xfId="0" applyFill="1" applyBorder="1" applyAlignment="1">
      <alignment horizontal="center"/>
    </xf>
    <xf numFmtId="2" fontId="0" fillId="34" borderId="43" xfId="0" applyNumberFormat="1" applyFill="1" applyBorder="1" applyProtection="1"/>
    <xf numFmtId="3" fontId="0" fillId="48" borderId="23" xfId="0" applyNumberFormat="1" applyFill="1" applyBorder="1" applyProtection="1"/>
    <xf numFmtId="4" fontId="0" fillId="34" borderId="23" xfId="0" applyNumberFormat="1" applyFill="1" applyBorder="1" applyProtection="1"/>
    <xf numFmtId="2" fontId="0" fillId="34" borderId="23" xfId="0" applyNumberFormat="1" applyFill="1" applyBorder="1" applyProtection="1"/>
    <xf numFmtId="2" fontId="0" fillId="0" borderId="23" xfId="0" applyNumberFormat="1" applyBorder="1"/>
    <xf numFmtId="2" fontId="0" fillId="0" borderId="23" xfId="0" applyNumberFormat="1" applyFill="1" applyBorder="1"/>
    <xf numFmtId="2" fontId="0" fillId="34" borderId="39" xfId="0" applyNumberFormat="1" applyFill="1" applyBorder="1" applyProtection="1"/>
    <xf numFmtId="4" fontId="0" fillId="48" borderId="0" xfId="0" applyNumberFormat="1" applyFill="1" applyBorder="1" applyProtection="1"/>
    <xf numFmtId="2" fontId="0" fillId="34" borderId="22" xfId="0" applyNumberFormat="1" applyFill="1" applyBorder="1" applyProtection="1"/>
    <xf numFmtId="2" fontId="0" fillId="0" borderId="0" xfId="0" applyNumberFormat="1" applyBorder="1"/>
    <xf numFmtId="2" fontId="0" fillId="0" borderId="0" xfId="0" applyNumberFormat="1" applyFill="1" applyBorder="1"/>
    <xf numFmtId="2" fontId="0" fillId="0" borderId="0" xfId="0" applyNumberFormat="1" applyFill="1"/>
    <xf numFmtId="2" fontId="0" fillId="33" borderId="31" xfId="0" applyNumberFormat="1" applyFill="1" applyBorder="1"/>
    <xf numFmtId="0" fontId="0" fillId="44" borderId="29" xfId="0" applyFill="1" applyBorder="1" applyAlignment="1">
      <alignment horizontal="right"/>
    </xf>
    <xf numFmtId="0" fontId="25" fillId="33" borderId="0" xfId="0" applyFont="1" applyFill="1" applyBorder="1" applyAlignment="1">
      <alignment horizontal="centerContinuous"/>
    </xf>
    <xf numFmtId="0" fontId="26" fillId="33" borderId="0" xfId="0" applyFont="1" applyFill="1" applyBorder="1" applyAlignment="1">
      <alignment horizontal="centerContinuous"/>
    </xf>
    <xf numFmtId="0" fontId="0" fillId="39" borderId="23" xfId="0" applyFill="1" applyBorder="1" applyAlignment="1">
      <alignment horizontal="center"/>
    </xf>
    <xf numFmtId="0" fontId="0" fillId="43" borderId="0" xfId="0" applyFill="1"/>
    <xf numFmtId="0" fontId="23" fillId="43" borderId="0" xfId="0" applyFont="1" applyFill="1" applyBorder="1"/>
    <xf numFmtId="0" fontId="0" fillId="39" borderId="0" xfId="0" applyFill="1" applyBorder="1" applyAlignment="1">
      <alignment horizontal="center"/>
    </xf>
    <xf numFmtId="164" fontId="0" fillId="45" borderId="0" xfId="0" applyNumberFormat="1" applyFill="1" applyBorder="1"/>
    <xf numFmtId="0" fontId="0" fillId="0" borderId="0" xfId="0" applyFill="1" applyBorder="1"/>
    <xf numFmtId="3" fontId="0" fillId="49" borderId="39" xfId="0" applyNumberFormat="1" applyFill="1" applyBorder="1" applyAlignment="1" applyProtection="1">
      <alignment horizontal="right"/>
    </xf>
    <xf numFmtId="3" fontId="0" fillId="49" borderId="0" xfId="0" applyNumberFormat="1" applyFill="1" applyBorder="1" applyAlignment="1" applyProtection="1">
      <alignment horizontal="right"/>
    </xf>
    <xf numFmtId="0" fontId="0" fillId="49" borderId="40" xfId="0" applyFill="1" applyBorder="1" applyProtection="1"/>
    <xf numFmtId="164" fontId="0" fillId="45" borderId="0" xfId="0" applyNumberFormat="1" applyFill="1"/>
    <xf numFmtId="3" fontId="0" fillId="34" borderId="0" xfId="0" applyNumberFormat="1" applyFill="1" applyBorder="1" applyProtection="1"/>
    <xf numFmtId="3" fontId="0" fillId="49" borderId="0" xfId="0" applyNumberFormat="1" applyFill="1" applyBorder="1" applyProtection="1"/>
    <xf numFmtId="0" fontId="0" fillId="34" borderId="29" xfId="0" applyFill="1" applyBorder="1"/>
    <xf numFmtId="3" fontId="0" fillId="49" borderId="39" xfId="0" applyNumberFormat="1" applyFill="1" applyBorder="1" applyProtection="1"/>
    <xf numFmtId="2" fontId="0" fillId="41" borderId="16" xfId="0" applyNumberFormat="1" applyFill="1" applyBorder="1"/>
    <xf numFmtId="0" fontId="0" fillId="34" borderId="19" xfId="0" applyFill="1" applyBorder="1"/>
    <xf numFmtId="0" fontId="0" fillId="41" borderId="16" xfId="0" applyFill="1" applyBorder="1"/>
    <xf numFmtId="0" fontId="0" fillId="34" borderId="27" xfId="0" applyFill="1" applyBorder="1"/>
    <xf numFmtId="2" fontId="0" fillId="41" borderId="38" xfId="0" applyNumberFormat="1" applyFill="1" applyBorder="1"/>
    <xf numFmtId="0" fontId="0" fillId="41" borderId="38" xfId="0" applyFill="1" applyBorder="1"/>
    <xf numFmtId="164" fontId="0" fillId="41" borderId="16" xfId="0" applyNumberFormat="1" applyFill="1" applyBorder="1" applyAlignment="1">
      <alignment horizontal="right"/>
    </xf>
    <xf numFmtId="0" fontId="0" fillId="41" borderId="13" xfId="0" applyFill="1" applyBorder="1"/>
    <xf numFmtId="3" fontId="0" fillId="42" borderId="21" xfId="0" applyNumberFormat="1" applyFill="1" applyBorder="1" applyProtection="1">
      <protection locked="0"/>
    </xf>
    <xf numFmtId="0" fontId="0" fillId="44" borderId="40" xfId="0" applyFill="1" applyBorder="1" applyProtection="1"/>
    <xf numFmtId="164" fontId="0" fillId="33" borderId="0" xfId="0" applyNumberFormat="1" applyFill="1" applyBorder="1"/>
    <xf numFmtId="1" fontId="0" fillId="33" borderId="0" xfId="0" applyNumberFormat="1" applyFill="1" applyBorder="1"/>
    <xf numFmtId="164" fontId="0" fillId="33" borderId="30" xfId="0" applyNumberFormat="1" applyFill="1" applyBorder="1"/>
    <xf numFmtId="0" fontId="0" fillId="33" borderId="17" xfId="0" applyFill="1" applyBorder="1"/>
    <xf numFmtId="9" fontId="0" fillId="33" borderId="21" xfId="0" applyNumberFormat="1" applyFill="1" applyBorder="1" applyProtection="1">
      <protection locked="0"/>
    </xf>
    <xf numFmtId="3" fontId="27" fillId="34" borderId="0" xfId="0" applyNumberFormat="1" applyFont="1" applyFill="1" applyBorder="1" applyProtection="1">
      <protection locked="0"/>
    </xf>
    <xf numFmtId="9" fontId="0" fillId="34" borderId="10" xfId="0" applyNumberFormat="1" applyFill="1" applyBorder="1" applyProtection="1">
      <protection locked="0"/>
    </xf>
    <xf numFmtId="9" fontId="0" fillId="33" borderId="10" xfId="0" applyNumberFormat="1" applyFill="1" applyBorder="1" applyProtection="1"/>
    <xf numFmtId="3" fontId="0" fillId="33" borderId="0" xfId="0" applyNumberFormat="1" applyFill="1" applyBorder="1" applyProtection="1">
      <protection locked="0"/>
    </xf>
    <xf numFmtId="9" fontId="0" fillId="33" borderId="10" xfId="0" applyNumberFormat="1" applyFill="1" applyBorder="1" applyProtection="1">
      <protection locked="0"/>
    </xf>
    <xf numFmtId="9" fontId="0" fillId="33" borderId="26" xfId="0" applyNumberFormat="1" applyFill="1" applyBorder="1" applyProtection="1">
      <protection locked="0"/>
    </xf>
    <xf numFmtId="3" fontId="0" fillId="33" borderId="21" xfId="0" applyNumberFormat="1" applyFill="1" applyBorder="1" applyProtection="1">
      <protection locked="0"/>
    </xf>
    <xf numFmtId="3" fontId="0" fillId="33" borderId="10" xfId="0" applyNumberFormat="1" applyFill="1" applyBorder="1" applyProtection="1"/>
    <xf numFmtId="3" fontId="0" fillId="33" borderId="26" xfId="0" applyNumberFormat="1" applyFill="1" applyBorder="1" applyProtection="1"/>
    <xf numFmtId="3" fontId="0" fillId="33" borderId="10" xfId="0" applyNumberFormat="1" applyFill="1" applyBorder="1" applyProtection="1">
      <protection locked="0"/>
    </xf>
    <xf numFmtId="3" fontId="0" fillId="33" borderId="26" xfId="0" applyNumberFormat="1" applyFill="1" applyBorder="1" applyProtection="1">
      <protection locked="0"/>
    </xf>
    <xf numFmtId="2" fontId="0" fillId="45" borderId="23" xfId="0" applyNumberFormat="1" applyFill="1" applyBorder="1"/>
    <xf numFmtId="3" fontId="0" fillId="36" borderId="21" xfId="0" applyNumberFormat="1" applyFill="1" applyBorder="1" applyProtection="1">
      <protection locked="0"/>
    </xf>
    <xf numFmtId="0" fontId="0" fillId="34" borderId="0" xfId="0" applyFill="1" applyBorder="1" applyAlignment="1" applyProtection="1">
      <alignment horizontal="right"/>
    </xf>
    <xf numFmtId="164" fontId="0" fillId="36" borderId="33" xfId="0" applyNumberFormat="1" applyFill="1" applyBorder="1" applyProtection="1"/>
    <xf numFmtId="164" fontId="0" fillId="36" borderId="10" xfId="0" applyNumberFormat="1" applyFill="1" applyBorder="1" applyProtection="1"/>
    <xf numFmtId="164" fontId="0" fillId="36" borderId="26" xfId="0" applyNumberFormat="1" applyFill="1" applyBorder="1" applyProtection="1"/>
    <xf numFmtId="2" fontId="0" fillId="45" borderId="0" xfId="0" applyNumberFormat="1" applyFill="1" applyBorder="1"/>
    <xf numFmtId="4" fontId="0" fillId="33" borderId="16" xfId="0" applyNumberFormat="1" applyFill="1" applyBorder="1"/>
    <xf numFmtId="3" fontId="0" fillId="39" borderId="38" xfId="0" applyNumberFormat="1" applyFill="1" applyBorder="1"/>
    <xf numFmtId="4" fontId="0" fillId="39" borderId="16" xfId="0" applyNumberFormat="1" applyFont="1" applyFill="1" applyBorder="1"/>
    <xf numFmtId="164" fontId="0" fillId="33" borderId="16" xfId="0" applyNumberFormat="1" applyFill="1" applyBorder="1"/>
    <xf numFmtId="164" fontId="0" fillId="33" borderId="38" xfId="0" applyNumberFormat="1" applyFill="1" applyBorder="1"/>
    <xf numFmtId="1" fontId="0" fillId="33" borderId="16" xfId="0" applyNumberFormat="1" applyFill="1" applyBorder="1"/>
    <xf numFmtId="0" fontId="0" fillId="33" borderId="13" xfId="0" applyFill="1" applyBorder="1"/>
    <xf numFmtId="2" fontId="0" fillId="36" borderId="10" xfId="0" applyNumberFormat="1" applyFill="1" applyBorder="1" applyProtection="1"/>
    <xf numFmtId="2" fontId="0" fillId="45" borderId="0" xfId="0" applyNumberFormat="1" applyFill="1"/>
    <xf numFmtId="3" fontId="0" fillId="39" borderId="30" xfId="0" applyNumberFormat="1" applyFill="1" applyBorder="1"/>
    <xf numFmtId="4" fontId="0" fillId="39" borderId="0" xfId="0" applyNumberFormat="1" applyFont="1" applyFill="1" applyBorder="1"/>
    <xf numFmtId="164" fontId="0" fillId="34" borderId="0" xfId="0" applyNumberFormat="1" applyFill="1" applyBorder="1" applyAlignment="1" applyProtection="1">
      <alignment horizontal="right"/>
    </xf>
    <xf numFmtId="164" fontId="0" fillId="34" borderId="0" xfId="0" applyNumberFormat="1" applyFill="1" applyBorder="1" applyProtection="1"/>
    <xf numFmtId="2" fontId="0" fillId="39" borderId="0" xfId="0" applyNumberFormat="1" applyFont="1" applyFill="1" applyBorder="1"/>
    <xf numFmtId="164" fontId="0" fillId="33" borderId="10" xfId="0" applyNumberFormat="1" applyFill="1" applyBorder="1" applyProtection="1"/>
    <xf numFmtId="165" fontId="0" fillId="42" borderId="36" xfId="0" applyNumberFormat="1" applyFill="1" applyBorder="1" applyProtection="1"/>
    <xf numFmtId="2" fontId="0" fillId="42" borderId="26" xfId="0" applyNumberFormat="1" applyFill="1" applyBorder="1" applyProtection="1"/>
    <xf numFmtId="0" fontId="0" fillId="0" borderId="33" xfId="0" applyFill="1" applyBorder="1" applyAlignment="1">
      <alignment horizontal="center"/>
    </xf>
    <xf numFmtId="0" fontId="0" fillId="45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44" borderId="26" xfId="0" applyFill="1" applyBorder="1" applyAlignment="1">
      <alignment horizontal="right"/>
    </xf>
    <xf numFmtId="0" fontId="23" fillId="44" borderId="46" xfId="0" applyFont="1" applyFill="1" applyBorder="1" applyAlignment="1">
      <alignment horizontal="right"/>
    </xf>
    <xf numFmtId="2" fontId="0" fillId="42" borderId="0" xfId="0" applyNumberFormat="1" applyFill="1"/>
    <xf numFmtId="0" fontId="0" fillId="44" borderId="21" xfId="0" applyFill="1" applyBorder="1" applyAlignment="1" applyProtection="1">
      <alignment horizontal="center"/>
    </xf>
    <xf numFmtId="0" fontId="0" fillId="44" borderId="10" xfId="0" applyFill="1" applyBorder="1" applyAlignment="1" applyProtection="1">
      <alignment horizontal="center"/>
    </xf>
    <xf numFmtId="0" fontId="0" fillId="44" borderId="24" xfId="0" applyFill="1" applyBorder="1" applyAlignment="1" applyProtection="1">
      <alignment horizontal="center"/>
    </xf>
    <xf numFmtId="0" fontId="0" fillId="44" borderId="23" xfId="0" applyFill="1" applyBorder="1" applyAlignment="1" applyProtection="1">
      <alignment horizontal="center"/>
    </xf>
    <xf numFmtId="0" fontId="0" fillId="34" borderId="37" xfId="0" applyFill="1" applyBorder="1"/>
    <xf numFmtId="0" fontId="0" fillId="34" borderId="15" xfId="0" applyFill="1" applyBorder="1"/>
    <xf numFmtId="0" fontId="26" fillId="33" borderId="15" xfId="0" applyFont="1" applyFill="1" applyBorder="1" applyAlignment="1">
      <alignment horizontal="centerContinuous"/>
    </xf>
    <xf numFmtId="0" fontId="0" fillId="0" borderId="11" xfId="0" applyBorder="1" applyAlignment="1"/>
    <xf numFmtId="0" fontId="26" fillId="33" borderId="12" xfId="0" applyFont="1" applyFill="1" applyBorder="1" applyAlignment="1" applyProtection="1">
      <alignment horizontal="center" wrapText="1"/>
    </xf>
    <xf numFmtId="0" fontId="0" fillId="34" borderId="15" xfId="0" applyFill="1" applyBorder="1" applyProtection="1"/>
    <xf numFmtId="0" fontId="25" fillId="33" borderId="15" xfId="0" applyFont="1" applyFill="1" applyBorder="1" applyAlignment="1" applyProtection="1">
      <alignment horizontal="centerContinuous"/>
    </xf>
    <xf numFmtId="0" fontId="25" fillId="33" borderId="35" xfId="0" applyFont="1" applyFill="1" applyBorder="1" applyAlignment="1" applyProtection="1">
      <alignment horizontal="centerContinuous"/>
    </xf>
    <xf numFmtId="0" fontId="25" fillId="33" borderId="47" xfId="0" applyFont="1" applyFill="1" applyBorder="1" applyAlignment="1" applyProtection="1">
      <alignment horizontal="centerContinuous"/>
    </xf>
    <xf numFmtId="0" fontId="26" fillId="33" borderId="47" xfId="0" applyFont="1" applyFill="1" applyBorder="1" applyAlignment="1" applyProtection="1">
      <alignment horizontal="centerContinuous"/>
    </xf>
    <xf numFmtId="0" fontId="26" fillId="33" borderId="35" xfId="0" applyFont="1" applyFill="1" applyBorder="1" applyAlignment="1" applyProtection="1">
      <alignment horizontal="centerContinuous"/>
    </xf>
    <xf numFmtId="0" fontId="0" fillId="0" borderId="48" xfId="0" applyBorder="1" applyAlignment="1" applyProtection="1"/>
    <xf numFmtId="0" fontId="0" fillId="44" borderId="20" xfId="0" applyFill="1" applyBorder="1" applyProtection="1"/>
    <xf numFmtId="0" fontId="0" fillId="44" borderId="28" xfId="0" applyFill="1" applyBorder="1" applyProtection="1"/>
    <xf numFmtId="0" fontId="8" fillId="44" borderId="31" xfId="0" applyFont="1" applyFill="1" applyBorder="1" applyAlignment="1">
      <alignment horizontal="centerContinuous"/>
    </xf>
    <xf numFmtId="0" fontId="0" fillId="44" borderId="31" xfId="0" applyFill="1" applyBorder="1" applyAlignment="1">
      <alignment horizontal="centerContinuous"/>
    </xf>
    <xf numFmtId="0" fontId="0" fillId="44" borderId="41" xfId="0" applyFill="1" applyBorder="1" applyAlignment="1">
      <alignment horizontal="centerContinuous"/>
    </xf>
    <xf numFmtId="0" fontId="5" fillId="44" borderId="10" xfId="0" applyFont="1" applyFill="1" applyBorder="1" applyAlignment="1" applyProtection="1">
      <alignment horizontal="right"/>
    </xf>
    <xf numFmtId="0" fontId="0" fillId="36" borderId="17" xfId="0" applyFill="1" applyBorder="1"/>
    <xf numFmtId="0" fontId="0" fillId="36" borderId="0" xfId="0" applyFill="1" applyBorder="1"/>
    <xf numFmtId="0" fontId="0" fillId="36" borderId="34" xfId="0" applyFill="1" applyBorder="1"/>
    <xf numFmtId="164" fontId="0" fillId="36" borderId="0" xfId="0" applyNumberFormat="1" applyFill="1" applyBorder="1" applyAlignment="1">
      <alignment horizontal="right"/>
    </xf>
    <xf numFmtId="1" fontId="0" fillId="36" borderId="30" xfId="0" applyNumberFormat="1" applyFill="1" applyBorder="1"/>
    <xf numFmtId="164" fontId="0" fillId="36" borderId="0" xfId="0" applyNumberFormat="1" applyFill="1" applyBorder="1"/>
    <xf numFmtId="1" fontId="0" fillId="36" borderId="0" xfId="0" applyNumberFormat="1" applyFill="1" applyBorder="1"/>
    <xf numFmtId="164" fontId="0" fillId="36" borderId="30" xfId="0" applyNumberFormat="1" applyFill="1" applyBorder="1"/>
    <xf numFmtId="2" fontId="0" fillId="36" borderId="0" xfId="0" applyNumberFormat="1" applyFill="1" applyBorder="1"/>
    <xf numFmtId="3" fontId="0" fillId="36" borderId="0" xfId="0" applyNumberFormat="1" applyFill="1" applyBorder="1"/>
    <xf numFmtId="0" fontId="0" fillId="36" borderId="0" xfId="0" applyFill="1" applyBorder="1" applyAlignment="1"/>
    <xf numFmtId="0" fontId="0" fillId="36" borderId="0" xfId="0" applyFill="1"/>
    <xf numFmtId="164" fontId="0" fillId="36" borderId="10" xfId="0" applyNumberFormat="1" applyFill="1" applyBorder="1" applyAlignment="1"/>
    <xf numFmtId="0" fontId="0" fillId="33" borderId="0" xfId="0" applyFill="1" applyBorder="1" applyAlignment="1" applyProtection="1">
      <alignment horizontal="center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Protection="1">
      <protection locked="0"/>
    </xf>
    <xf numFmtId="0" fontId="0" fillId="33" borderId="0" xfId="0" applyFill="1" applyBorder="1" applyProtection="1"/>
    <xf numFmtId="3" fontId="0" fillId="33" borderId="0" xfId="0" applyNumberFormat="1" applyFont="1" applyFill="1" applyBorder="1" applyProtection="1"/>
    <xf numFmtId="3" fontId="23" fillId="33" borderId="0" xfId="0" applyNumberFormat="1" applyFont="1" applyFill="1" applyBorder="1" applyProtection="1"/>
    <xf numFmtId="3" fontId="23" fillId="33" borderId="0" xfId="0" applyNumberFormat="1" applyFont="1" applyFill="1" applyBorder="1" applyProtection="1">
      <protection locked="0"/>
    </xf>
    <xf numFmtId="0" fontId="23" fillId="33" borderId="0" xfId="0" applyFont="1" applyFill="1" applyBorder="1" applyProtection="1"/>
    <xf numFmtId="3" fontId="0" fillId="33" borderId="0" xfId="0" applyNumberFormat="1" applyFill="1" applyBorder="1" applyProtection="1"/>
    <xf numFmtId="4" fontId="0" fillId="33" borderId="0" xfId="0" applyNumberFormat="1" applyFill="1" applyBorder="1" applyProtection="1"/>
    <xf numFmtId="4" fontId="0" fillId="33" borderId="0" xfId="0" applyNumberFormat="1" applyFill="1" applyBorder="1" applyProtection="1">
      <protection locked="0"/>
    </xf>
    <xf numFmtId="4" fontId="23" fillId="33" borderId="0" xfId="0" applyNumberFormat="1" applyFont="1" applyFill="1" applyBorder="1" applyProtection="1"/>
    <xf numFmtId="0" fontId="23" fillId="33" borderId="0" xfId="0" applyFont="1" applyFill="1" applyBorder="1" applyAlignment="1" applyProtection="1">
      <alignment horizontal="center"/>
    </xf>
    <xf numFmtId="0" fontId="0" fillId="46" borderId="44" xfId="0" applyFill="1" applyBorder="1" applyProtection="1"/>
    <xf numFmtId="3" fontId="0" fillId="34" borderId="0" xfId="0" applyNumberFormat="1" applyFill="1" applyBorder="1" applyProtection="1">
      <protection locked="0"/>
    </xf>
    <xf numFmtId="3" fontId="0" fillId="34" borderId="26" xfId="0" applyNumberFormat="1" applyFill="1" applyBorder="1" applyProtection="1">
      <protection locked="0"/>
    </xf>
    <xf numFmtId="3" fontId="0" fillId="34" borderId="10" xfId="0" applyNumberFormat="1" applyFill="1" applyBorder="1" applyProtection="1">
      <protection locked="0"/>
    </xf>
    <xf numFmtId="3" fontId="0" fillId="34" borderId="33" xfId="0" applyNumberFormat="1" applyFill="1" applyBorder="1" applyProtection="1">
      <protection locked="0"/>
    </xf>
    <xf numFmtId="3" fontId="0" fillId="34" borderId="26" xfId="0" applyNumberFormat="1" applyFill="1" applyBorder="1" applyProtection="1"/>
    <xf numFmtId="3" fontId="0" fillId="34" borderId="10" xfId="0" applyNumberFormat="1" applyFill="1" applyBorder="1" applyProtection="1"/>
    <xf numFmtId="3" fontId="0" fillId="34" borderId="33" xfId="0" applyNumberFormat="1" applyFill="1" applyBorder="1" applyProtection="1"/>
    <xf numFmtId="3" fontId="0" fillId="36" borderId="33" xfId="0" applyNumberFormat="1" applyFill="1" applyBorder="1" applyProtection="1"/>
    <xf numFmtId="0" fontId="0" fillId="44" borderId="25" xfId="0" applyFill="1" applyBorder="1" applyAlignment="1" applyProtection="1">
      <alignment horizontal="center"/>
    </xf>
    <xf numFmtId="164" fontId="0" fillId="34" borderId="32" xfId="0" applyNumberFormat="1" applyFill="1" applyBorder="1" applyProtection="1"/>
    <xf numFmtId="2" fontId="0" fillId="36" borderId="26" xfId="0" applyNumberFormat="1" applyFill="1" applyBorder="1" applyProtection="1"/>
    <xf numFmtId="0" fontId="0" fillId="34" borderId="26" xfId="0" applyFill="1" applyBorder="1" applyAlignment="1" applyProtection="1">
      <alignment horizontal="right"/>
    </xf>
    <xf numFmtId="9" fontId="0" fillId="33" borderId="26" xfId="0" applyNumberFormat="1" applyFill="1" applyBorder="1" applyProtection="1"/>
    <xf numFmtId="0" fontId="0" fillId="33" borderId="26" xfId="0" applyFill="1" applyBorder="1" applyProtection="1">
      <protection locked="0"/>
    </xf>
    <xf numFmtId="0" fontId="23" fillId="34" borderId="27" xfId="0" applyFont="1" applyFill="1" applyBorder="1" applyAlignment="1" applyProtection="1">
      <alignment horizontal="centerContinuous"/>
    </xf>
    <xf numFmtId="0" fontId="0" fillId="34" borderId="28" xfId="0" applyFill="1" applyBorder="1" applyAlignment="1" applyProtection="1">
      <alignment horizontal="center"/>
    </xf>
    <xf numFmtId="2" fontId="0" fillId="34" borderId="10" xfId="0" applyNumberFormat="1" applyFill="1" applyBorder="1" applyProtection="1"/>
    <xf numFmtId="0" fontId="0" fillId="34" borderId="10" xfId="0" applyFill="1" applyBorder="1" applyProtection="1">
      <protection locked="0"/>
    </xf>
    <xf numFmtId="0" fontId="0" fillId="34" borderId="20" xfId="0" applyFill="1" applyBorder="1" applyProtection="1">
      <protection locked="0"/>
    </xf>
    <xf numFmtId="3" fontId="0" fillId="34" borderId="20" xfId="0" applyNumberFormat="1" applyFill="1" applyBorder="1" applyProtection="1"/>
    <xf numFmtId="2" fontId="0" fillId="34" borderId="20" xfId="0" applyNumberFormat="1" applyFill="1" applyBorder="1" applyProtection="1"/>
    <xf numFmtId="2" fontId="0" fillId="34" borderId="28" xfId="0" applyNumberFormat="1" applyFill="1" applyBorder="1" applyProtection="1"/>
    <xf numFmtId="3" fontId="0" fillId="34" borderId="20" xfId="0" applyNumberFormat="1" applyFill="1" applyBorder="1" applyAlignment="1" applyProtection="1">
      <alignment horizontal="right"/>
    </xf>
    <xf numFmtId="2" fontId="0" fillId="34" borderId="10" xfId="0" applyNumberFormat="1" applyFill="1" applyBorder="1" applyProtection="1">
      <protection locked="0"/>
    </xf>
    <xf numFmtId="2" fontId="0" fillId="34" borderId="20" xfId="0" applyNumberFormat="1" applyFill="1" applyBorder="1" applyProtection="1">
      <protection locked="0"/>
    </xf>
    <xf numFmtId="164" fontId="0" fillId="33" borderId="26" xfId="0" applyNumberFormat="1" applyFill="1" applyBorder="1" applyProtection="1"/>
    <xf numFmtId="9" fontId="0" fillId="34" borderId="26" xfId="0" applyNumberFormat="1" applyFill="1" applyBorder="1" applyProtection="1">
      <protection locked="0"/>
    </xf>
    <xf numFmtId="0" fontId="0" fillId="34" borderId="27" xfId="0" applyFill="1" applyBorder="1" applyProtection="1"/>
    <xf numFmtId="0" fontId="0" fillId="34" borderId="20" xfId="0" applyFill="1" applyBorder="1" applyProtection="1"/>
    <xf numFmtId="9" fontId="0" fillId="34" borderId="0" xfId="0" applyNumberFormat="1" applyFill="1" applyBorder="1" applyProtection="1">
      <protection locked="0"/>
    </xf>
    <xf numFmtId="0" fontId="25" fillId="33" borderId="15" xfId="0" applyFont="1" applyFill="1" applyBorder="1" applyAlignment="1">
      <alignment horizontal="centerContinuous"/>
    </xf>
    <xf numFmtId="0" fontId="25" fillId="33" borderId="31" xfId="0" applyFont="1" applyFill="1" applyBorder="1" applyAlignment="1">
      <alignment horizontal="centerContinuous"/>
    </xf>
    <xf numFmtId="0" fontId="0" fillId="44" borderId="25" xfId="0" applyFill="1" applyBorder="1" applyAlignment="1">
      <alignment horizontal="center"/>
    </xf>
    <xf numFmtId="0" fontId="26" fillId="33" borderId="34" xfId="0" applyFont="1" applyFill="1" applyBorder="1" applyAlignment="1">
      <alignment horizontal="centerContinuous"/>
    </xf>
    <xf numFmtId="0" fontId="25" fillId="33" borderId="12" xfId="0" applyFont="1" applyFill="1" applyBorder="1" applyAlignment="1">
      <alignment horizontal="centerContinuous"/>
    </xf>
    <xf numFmtId="4" fontId="0" fillId="33" borderId="38" xfId="0" applyNumberFormat="1" applyFill="1" applyBorder="1"/>
    <xf numFmtId="2" fontId="0" fillId="33" borderId="16" xfId="0" applyNumberFormat="1" applyFill="1" applyBorder="1"/>
    <xf numFmtId="2" fontId="0" fillId="33" borderId="0" xfId="0" applyNumberFormat="1" applyFill="1"/>
    <xf numFmtId="0" fontId="0" fillId="41" borderId="45" xfId="0" applyFill="1" applyBorder="1"/>
    <xf numFmtId="3" fontId="0" fillId="36" borderId="33" xfId="0" applyNumberFormat="1" applyFill="1" applyBorder="1" applyProtection="1">
      <protection locked="0"/>
    </xf>
    <xf numFmtId="3" fontId="0" fillId="36" borderId="10" xfId="0" applyNumberFormat="1" applyFill="1" applyBorder="1" applyProtection="1"/>
    <xf numFmtId="0" fontId="0" fillId="34" borderId="22" xfId="0" applyFill="1" applyBorder="1" applyProtection="1"/>
    <xf numFmtId="0" fontId="0" fillId="34" borderId="24" xfId="0" applyFill="1" applyBorder="1" applyProtection="1"/>
    <xf numFmtId="0" fontId="0" fillId="34" borderId="24" xfId="0" applyFill="1" applyBorder="1" applyProtection="1">
      <protection locked="0"/>
    </xf>
    <xf numFmtId="165" fontId="0" fillId="44" borderId="41" xfId="0" applyNumberFormat="1" applyFill="1" applyBorder="1" applyAlignment="1">
      <alignment horizontal="centerContinuous"/>
    </xf>
    <xf numFmtId="165" fontId="0" fillId="33" borderId="10" xfId="0" applyNumberFormat="1" applyFill="1" applyBorder="1" applyProtection="1"/>
    <xf numFmtId="165" fontId="0" fillId="33" borderId="0" xfId="0" applyNumberFormat="1" applyFill="1" applyBorder="1"/>
    <xf numFmtId="165" fontId="0" fillId="33" borderId="45" xfId="0" applyNumberFormat="1" applyFill="1" applyBorder="1"/>
    <xf numFmtId="165" fontId="0" fillId="36" borderId="0" xfId="0" applyNumberFormat="1" applyFill="1" applyBorder="1"/>
    <xf numFmtId="165" fontId="0" fillId="36" borderId="10" xfId="0" applyNumberFormat="1" applyFill="1" applyBorder="1" applyProtection="1"/>
    <xf numFmtId="165" fontId="0" fillId="33" borderId="16" xfId="0" applyNumberFormat="1" applyFill="1" applyBorder="1"/>
    <xf numFmtId="165" fontId="0" fillId="36" borderId="10" xfId="0" applyNumberFormat="1" applyFill="1" applyBorder="1" applyAlignment="1"/>
    <xf numFmtId="165" fontId="0" fillId="36" borderId="26" xfId="0" applyNumberFormat="1" applyFill="1" applyBorder="1" applyProtection="1"/>
    <xf numFmtId="164" fontId="0" fillId="33" borderId="0" xfId="0" applyNumberFormat="1" applyFill="1" applyBorder="1" applyProtection="1"/>
    <xf numFmtId="2" fontId="0" fillId="34" borderId="33" xfId="0" applyNumberFormat="1" applyFill="1" applyBorder="1" applyProtection="1"/>
    <xf numFmtId="0" fontId="0" fillId="34" borderId="23" xfId="0" applyFill="1" applyBorder="1" applyAlignment="1" applyProtection="1">
      <alignment horizontal="right"/>
    </xf>
    <xf numFmtId="0" fontId="0" fillId="34" borderId="32" xfId="0" applyFill="1" applyBorder="1" applyAlignment="1" applyProtection="1">
      <alignment horizontal="right"/>
    </xf>
    <xf numFmtId="3" fontId="0" fillId="34" borderId="23" xfId="0" applyNumberFormat="1" applyFill="1" applyBorder="1" applyProtection="1"/>
    <xf numFmtId="2" fontId="0" fillId="34" borderId="26" xfId="0" applyNumberFormat="1" applyFill="1" applyBorder="1" applyProtection="1"/>
    <xf numFmtId="3" fontId="0" fillId="34" borderId="0" xfId="0" applyNumberFormat="1" applyFill="1" applyBorder="1" applyAlignment="1" applyProtection="1">
      <alignment horizontal="right"/>
    </xf>
    <xf numFmtId="164" fontId="0" fillId="50" borderId="26" xfId="0" applyNumberFormat="1" applyFill="1" applyBorder="1" applyProtection="1">
      <protection locked="0"/>
    </xf>
    <xf numFmtId="164" fontId="0" fillId="50" borderId="10" xfId="0" applyNumberFormat="1" applyFill="1" applyBorder="1" applyProtection="1">
      <protection locked="0"/>
    </xf>
    <xf numFmtId="165" fontId="0" fillId="50" borderId="10" xfId="0" applyNumberFormat="1" applyFill="1" applyBorder="1" applyProtection="1">
      <protection locked="0"/>
    </xf>
    <xf numFmtId="2" fontId="0" fillId="50" borderId="26" xfId="0" applyNumberFormat="1" applyFill="1" applyBorder="1" applyProtection="1"/>
    <xf numFmtId="2" fontId="0" fillId="50" borderId="10" xfId="0" applyNumberFormat="1" applyFill="1" applyBorder="1" applyProtection="1"/>
    <xf numFmtId="2" fontId="0" fillId="50" borderId="26" xfId="0" applyNumberFormat="1" applyFill="1" applyBorder="1" applyProtection="1">
      <protection locked="0"/>
    </xf>
    <xf numFmtId="2" fontId="0" fillId="50" borderId="24" xfId="0" applyNumberFormat="1" applyFill="1" applyBorder="1" applyProtection="1">
      <protection locked="0"/>
    </xf>
    <xf numFmtId="0" fontId="8" fillId="44" borderId="33" xfId="0" applyFont="1" applyFill="1" applyBorder="1" applyAlignment="1" applyProtection="1">
      <alignment horizontal="center"/>
    </xf>
    <xf numFmtId="0" fontId="0" fillId="44" borderId="22" xfId="0" applyFill="1" applyBorder="1" applyAlignment="1" applyProtection="1">
      <alignment horizontal="center"/>
    </xf>
    <xf numFmtId="0" fontId="0" fillId="44" borderId="27" xfId="0" applyFill="1" applyBorder="1"/>
    <xf numFmtId="0" fontId="5" fillId="44" borderId="28" xfId="0" applyFont="1" applyFill="1" applyBorder="1" applyAlignment="1" applyProtection="1">
      <alignment horizontal="right"/>
    </xf>
    <xf numFmtId="0" fontId="8" fillId="44" borderId="26" xfId="0" applyFont="1" applyFill="1" applyBorder="1" applyAlignment="1" applyProtection="1">
      <alignment horizontal="center"/>
    </xf>
    <xf numFmtId="2" fontId="0" fillId="50" borderId="10" xfId="0" applyNumberFormat="1" applyFill="1" applyBorder="1" applyProtection="1">
      <protection locked="0"/>
    </xf>
    <xf numFmtId="2" fontId="0" fillId="47" borderId="18" xfId="0" applyNumberFormat="1" applyFill="1" applyBorder="1" applyProtection="1"/>
    <xf numFmtId="0" fontId="8" fillId="0" borderId="11" xfId="0" applyFont="1" applyBorder="1" applyAlignment="1">
      <alignment vertical="center"/>
    </xf>
    <xf numFmtId="0" fontId="8" fillId="33" borderId="47" xfId="0" applyFont="1" applyFill="1" applyBorder="1" applyAlignment="1" applyProtection="1">
      <alignment horizontal="centerContinuous" vertical="center"/>
    </xf>
    <xf numFmtId="0" fontId="8" fillId="33" borderId="35" xfId="0" applyFont="1" applyFill="1" applyBorder="1" applyAlignment="1" applyProtection="1">
      <alignment horizontal="centerContinuous" vertical="center"/>
    </xf>
    <xf numFmtId="0" fontId="8" fillId="34" borderId="47" xfId="0" applyFont="1" applyFill="1" applyBorder="1" applyAlignment="1" applyProtection="1">
      <alignment horizontal="centerContinuous" vertical="center"/>
    </xf>
    <xf numFmtId="0" fontId="8" fillId="33" borderId="52" xfId="0" applyFont="1" applyFill="1" applyBorder="1" applyAlignment="1" applyProtection="1">
      <alignment horizontal="centerContinuous" vertical="center"/>
    </xf>
    <xf numFmtId="0" fontId="8" fillId="33" borderId="15" xfId="0" applyFont="1" applyFill="1" applyBorder="1" applyAlignment="1" applyProtection="1">
      <alignment horizontal="centerContinuous" vertical="center"/>
    </xf>
    <xf numFmtId="0" fontId="8" fillId="33" borderId="12" xfId="0" applyFont="1" applyFill="1" applyBorder="1" applyAlignment="1" applyProtection="1">
      <alignment horizontal="centerContinuous" vertical="center"/>
    </xf>
    <xf numFmtId="0" fontId="8" fillId="51" borderId="12" xfId="0" applyFont="1" applyFill="1" applyBorder="1"/>
    <xf numFmtId="0" fontId="5" fillId="33" borderId="0" xfId="0" applyFont="1" applyFill="1"/>
    <xf numFmtId="0" fontId="5" fillId="44" borderId="23" xfId="0" applyFont="1" applyFill="1" applyBorder="1" applyAlignment="1" applyProtection="1">
      <alignment horizontal="center"/>
    </xf>
    <xf numFmtId="0" fontId="5" fillId="44" borderId="24" xfId="0" applyFont="1" applyFill="1" applyBorder="1" applyAlignment="1" applyProtection="1">
      <alignment horizontal="center"/>
    </xf>
    <xf numFmtId="0" fontId="5" fillId="44" borderId="10" xfId="0" applyFont="1" applyFill="1" applyBorder="1" applyAlignment="1" applyProtection="1">
      <alignment horizontal="center"/>
    </xf>
    <xf numFmtId="0" fontId="5" fillId="34" borderId="23" xfId="0" applyFont="1" applyFill="1" applyBorder="1" applyAlignment="1" applyProtection="1">
      <alignment horizontal="center"/>
    </xf>
    <xf numFmtId="0" fontId="5" fillId="44" borderId="32" xfId="0" applyFont="1" applyFill="1" applyBorder="1" applyAlignment="1" applyProtection="1">
      <alignment horizontal="center"/>
    </xf>
    <xf numFmtId="0" fontId="5" fillId="51" borderId="18" xfId="0" applyFont="1" applyFill="1" applyBorder="1"/>
    <xf numFmtId="0" fontId="5" fillId="44" borderId="32" xfId="0" applyFont="1" applyFill="1" applyBorder="1" applyAlignment="1">
      <alignment horizontal="center"/>
    </xf>
    <xf numFmtId="0" fontId="5" fillId="44" borderId="23" xfId="0" applyFont="1" applyFill="1" applyBorder="1" applyAlignment="1">
      <alignment horizontal="center"/>
    </xf>
    <xf numFmtId="0" fontId="5" fillId="44" borderId="33" xfId="0" applyFont="1" applyFill="1" applyBorder="1" applyAlignment="1">
      <alignment horizontal="center"/>
    </xf>
    <xf numFmtId="0" fontId="5" fillId="34" borderId="0" xfId="0" applyFont="1" applyFill="1" applyBorder="1" applyProtection="1">
      <protection locked="0"/>
    </xf>
    <xf numFmtId="0" fontId="5" fillId="33" borderId="0" xfId="0" applyFont="1" applyFill="1" applyBorder="1"/>
    <xf numFmtId="2" fontId="5" fillId="39" borderId="0" xfId="0" applyNumberFormat="1" applyFont="1" applyFill="1" applyBorder="1"/>
    <xf numFmtId="2" fontId="5" fillId="33" borderId="26" xfId="0" applyNumberFormat="1" applyFont="1" applyFill="1" applyBorder="1" applyProtection="1">
      <protection locked="0"/>
    </xf>
    <xf numFmtId="2" fontId="5" fillId="33" borderId="10" xfId="0" applyNumberFormat="1" applyFont="1" applyFill="1" applyBorder="1" applyProtection="1">
      <protection locked="0"/>
    </xf>
    <xf numFmtId="2" fontId="5" fillId="34" borderId="33" xfId="0" applyNumberFormat="1" applyFont="1" applyFill="1" applyBorder="1" applyProtection="1"/>
    <xf numFmtId="0" fontId="5" fillId="34" borderId="33" xfId="0" applyFont="1" applyFill="1" applyBorder="1" applyProtection="1">
      <protection locked="0"/>
    </xf>
    <xf numFmtId="0" fontId="5" fillId="34" borderId="26" xfId="0" applyFont="1" applyFill="1" applyBorder="1" applyProtection="1"/>
    <xf numFmtId="0" fontId="5" fillId="34" borderId="10" xfId="0" applyFont="1" applyFill="1" applyBorder="1" applyProtection="1"/>
    <xf numFmtId="0" fontId="5" fillId="34" borderId="10" xfId="0" applyFont="1" applyFill="1" applyBorder="1" applyAlignment="1" applyProtection="1">
      <alignment horizontal="right"/>
    </xf>
    <xf numFmtId="4" fontId="5" fillId="39" borderId="0" xfId="0" applyNumberFormat="1" applyFont="1" applyFill="1" applyBorder="1"/>
    <xf numFmtId="0" fontId="5" fillId="34" borderId="33" xfId="0" applyFont="1" applyFill="1" applyBorder="1" applyProtection="1"/>
    <xf numFmtId="3" fontId="5" fillId="33" borderId="26" xfId="0" applyNumberFormat="1" applyFont="1" applyFill="1" applyBorder="1" applyProtection="1">
      <protection locked="0"/>
    </xf>
    <xf numFmtId="3" fontId="5" fillId="33" borderId="10" xfId="0" applyNumberFormat="1" applyFont="1" applyFill="1" applyBorder="1" applyProtection="1">
      <protection locked="0"/>
    </xf>
    <xf numFmtId="9" fontId="5" fillId="33" borderId="26" xfId="0" applyNumberFormat="1" applyFont="1" applyFill="1" applyBorder="1" applyProtection="1">
      <protection locked="0"/>
    </xf>
    <xf numFmtId="9" fontId="5" fillId="33" borderId="10" xfId="0" applyNumberFormat="1" applyFont="1" applyFill="1" applyBorder="1" applyProtection="1">
      <protection locked="0"/>
    </xf>
    <xf numFmtId="3" fontId="5" fillId="49" borderId="0" xfId="0" applyNumberFormat="1" applyFont="1" applyFill="1" applyBorder="1" applyProtection="1"/>
    <xf numFmtId="3" fontId="8" fillId="49" borderId="0" xfId="0" applyNumberFormat="1" applyFont="1" applyFill="1" applyBorder="1" applyProtection="1"/>
    <xf numFmtId="3" fontId="5" fillId="34" borderId="0" xfId="0" applyNumberFormat="1" applyFont="1" applyFill="1" applyBorder="1" applyProtection="1"/>
    <xf numFmtId="3" fontId="8" fillId="49" borderId="18" xfId="0" applyNumberFormat="1" applyFont="1" applyFill="1" applyBorder="1" applyProtection="1"/>
    <xf numFmtId="0" fontId="5" fillId="39" borderId="0" xfId="0" applyFont="1" applyFill="1" applyBorder="1" applyAlignment="1">
      <alignment horizontal="center"/>
    </xf>
    <xf numFmtId="2" fontId="5" fillId="34" borderId="0" xfId="0" applyNumberFormat="1" applyFont="1" applyFill="1" applyBorder="1" applyProtection="1"/>
    <xf numFmtId="0" fontId="5" fillId="33" borderId="0" xfId="0" applyFont="1" applyFill="1" applyBorder="1" applyAlignment="1"/>
    <xf numFmtId="2" fontId="5" fillId="47" borderId="0" xfId="0" applyNumberFormat="1" applyFont="1" applyFill="1" applyBorder="1" applyProtection="1"/>
    <xf numFmtId="2" fontId="5" fillId="34" borderId="30" xfId="0" applyNumberFormat="1" applyFont="1" applyFill="1" applyBorder="1" applyProtection="1"/>
    <xf numFmtId="0" fontId="5" fillId="39" borderId="23" xfId="0" applyFont="1" applyFill="1" applyBorder="1" applyAlignment="1">
      <alignment horizontal="center"/>
    </xf>
    <xf numFmtId="4" fontId="5" fillId="34" borderId="30" xfId="0" applyNumberFormat="1" applyFont="1" applyFill="1" applyBorder="1" applyProtection="1"/>
    <xf numFmtId="4" fontId="5" fillId="34" borderId="0" xfId="0" applyNumberFormat="1" applyFont="1" applyFill="1" applyBorder="1" applyProtection="1"/>
    <xf numFmtId="0" fontId="5" fillId="44" borderId="29" xfId="0" applyFont="1" applyFill="1" applyBorder="1" applyAlignment="1">
      <alignment horizontal="right"/>
    </xf>
    <xf numFmtId="0" fontId="5" fillId="44" borderId="26" xfId="0" applyFont="1" applyFill="1" applyBorder="1" applyAlignment="1">
      <alignment horizontal="center"/>
    </xf>
    <xf numFmtId="2" fontId="5" fillId="34" borderId="23" xfId="0" applyNumberFormat="1" applyFont="1" applyFill="1" applyBorder="1" applyProtection="1"/>
    <xf numFmtId="0" fontId="8" fillId="33" borderId="0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2" fontId="5" fillId="44" borderId="0" xfId="0" applyNumberFormat="1" applyFont="1" applyFill="1" applyBorder="1" applyProtection="1"/>
    <xf numFmtId="0" fontId="5" fillId="34" borderId="25" xfId="0" applyFont="1" applyFill="1" applyBorder="1" applyProtection="1"/>
    <xf numFmtId="3" fontId="5" fillId="33" borderId="25" xfId="0" applyNumberFormat="1" applyFont="1" applyFill="1" applyBorder="1" applyProtection="1">
      <protection locked="0"/>
    </xf>
    <xf numFmtId="9" fontId="5" fillId="33" borderId="25" xfId="0" applyNumberFormat="1" applyFont="1" applyFill="1" applyBorder="1" applyProtection="1">
      <protection locked="0"/>
    </xf>
    <xf numFmtId="2" fontId="5" fillId="33" borderId="25" xfId="0" applyNumberFormat="1" applyFont="1" applyFill="1" applyBorder="1" applyProtection="1">
      <protection locked="0"/>
    </xf>
    <xf numFmtId="0" fontId="5" fillId="44" borderId="20" xfId="0" applyFont="1" applyFill="1" applyBorder="1" applyProtection="1"/>
    <xf numFmtId="164" fontId="5" fillId="44" borderId="20" xfId="0" applyNumberFormat="1" applyFont="1" applyFill="1" applyBorder="1" applyProtection="1"/>
    <xf numFmtId="2" fontId="5" fillId="44" borderId="20" xfId="0" applyNumberFormat="1" applyFont="1" applyFill="1" applyBorder="1" applyProtection="1"/>
    <xf numFmtId="0" fontId="5" fillId="34" borderId="25" xfId="0" applyFont="1" applyFill="1" applyBorder="1" applyAlignment="1" applyProtection="1">
      <alignment horizontal="right"/>
    </xf>
    <xf numFmtId="4" fontId="5" fillId="44" borderId="0" xfId="0" applyNumberFormat="1" applyFont="1" applyFill="1" applyBorder="1" applyProtection="1"/>
    <xf numFmtId="0" fontId="8" fillId="44" borderId="53" xfId="0" applyFont="1" applyFill="1" applyBorder="1" applyAlignment="1" applyProtection="1">
      <alignment horizontal="center"/>
    </xf>
    <xf numFmtId="0" fontId="5" fillId="44" borderId="54" xfId="0" applyFont="1" applyFill="1" applyBorder="1" applyProtection="1"/>
    <xf numFmtId="0" fontId="5" fillId="49" borderId="54" xfId="0" applyFont="1" applyFill="1" applyBorder="1" applyProtection="1"/>
    <xf numFmtId="2" fontId="0" fillId="44" borderId="18" xfId="0" applyNumberFormat="1" applyFill="1" applyBorder="1" applyProtection="1"/>
    <xf numFmtId="0" fontId="0" fillId="44" borderId="18" xfId="0" applyFill="1" applyBorder="1" applyProtection="1"/>
    <xf numFmtId="3" fontId="0" fillId="44" borderId="18" xfId="0" applyNumberFormat="1" applyFill="1" applyBorder="1" applyProtection="1"/>
    <xf numFmtId="3" fontId="22" fillId="44" borderId="43" xfId="0" applyNumberFormat="1" applyFont="1" applyFill="1" applyBorder="1" applyProtection="1"/>
    <xf numFmtId="0" fontId="0" fillId="47" borderId="50" xfId="0" applyFill="1" applyBorder="1" applyAlignment="1" applyProtection="1">
      <alignment horizontal="right"/>
    </xf>
    <xf numFmtId="0" fontId="0" fillId="47" borderId="49" xfId="0" applyFill="1" applyBorder="1" applyAlignment="1" applyProtection="1">
      <alignment horizontal="right"/>
    </xf>
    <xf numFmtId="2" fontId="0" fillId="33" borderId="49" xfId="0" applyNumberFormat="1" applyFill="1" applyBorder="1" applyProtection="1">
      <protection locked="0"/>
    </xf>
    <xf numFmtId="0" fontId="0" fillId="47" borderId="14" xfId="0" applyFill="1" applyBorder="1" applyAlignment="1" applyProtection="1">
      <alignment horizontal="right"/>
    </xf>
    <xf numFmtId="0" fontId="5" fillId="51" borderId="14" xfId="0" applyFont="1" applyFill="1" applyBorder="1"/>
    <xf numFmtId="164" fontId="5" fillId="44" borderId="0" xfId="0" applyNumberFormat="1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3" fontId="5" fillId="44" borderId="0" xfId="0" applyNumberFormat="1" applyFont="1" applyFill="1" applyBorder="1" applyProtection="1"/>
    <xf numFmtId="166" fontId="5" fillId="33" borderId="0" xfId="0" applyNumberFormat="1" applyFont="1" applyFill="1"/>
    <xf numFmtId="166" fontId="5" fillId="44" borderId="23" xfId="0" applyNumberFormat="1" applyFont="1" applyFill="1" applyBorder="1" applyAlignment="1" applyProtection="1">
      <alignment horizontal="center"/>
    </xf>
    <xf numFmtId="3" fontId="22" fillId="33" borderId="26" xfId="0" applyNumberFormat="1" applyFont="1" applyFill="1" applyBorder="1" applyProtection="1">
      <protection locked="0"/>
    </xf>
    <xf numFmtId="3" fontId="22" fillId="33" borderId="10" xfId="0" applyNumberFormat="1" applyFont="1" applyFill="1" applyBorder="1" applyProtection="1">
      <protection locked="0"/>
    </xf>
    <xf numFmtId="164" fontId="5" fillId="33" borderId="10" xfId="0" applyNumberFormat="1" applyFont="1" applyFill="1" applyBorder="1" applyProtection="1">
      <protection locked="0"/>
    </xf>
    <xf numFmtId="166" fontId="5" fillId="33" borderId="25" xfId="0" applyNumberFormat="1" applyFont="1" applyFill="1" applyBorder="1" applyProtection="1">
      <protection locked="0"/>
    </xf>
    <xf numFmtId="0" fontId="5" fillId="33" borderId="0" xfId="0" applyFont="1" applyFill="1" applyBorder="1" applyProtection="1"/>
    <xf numFmtId="0" fontId="8" fillId="33" borderId="23" xfId="0" applyFont="1" applyFill="1" applyBorder="1" applyAlignment="1">
      <alignment horizontal="centerContinuous" vertical="center"/>
    </xf>
    <xf numFmtId="0" fontId="8" fillId="33" borderId="15" xfId="0" applyFont="1" applyFill="1" applyBorder="1" applyAlignment="1">
      <alignment vertical="center"/>
    </xf>
    <xf numFmtId="0" fontId="5" fillId="44" borderId="10" xfId="0" applyFont="1" applyFill="1" applyBorder="1" applyAlignment="1">
      <alignment horizontal="right"/>
    </xf>
    <xf numFmtId="0" fontId="5" fillId="44" borderId="25" xfId="0" applyFont="1" applyFill="1" applyBorder="1" applyAlignment="1">
      <alignment horizontal="center"/>
    </xf>
    <xf numFmtId="0" fontId="5" fillId="44" borderId="33" xfId="0" applyFont="1" applyFill="1" applyBorder="1" applyAlignment="1" applyProtection="1">
      <alignment horizontal="center"/>
    </xf>
    <xf numFmtId="0" fontId="8" fillId="33" borderId="25" xfId="0" applyFont="1" applyFill="1" applyBorder="1" applyAlignment="1">
      <alignment horizontal="centerContinuous" vertical="center"/>
    </xf>
    <xf numFmtId="0" fontId="8" fillId="33" borderId="33" xfId="0" applyFont="1" applyFill="1" applyBorder="1" applyAlignment="1">
      <alignment horizontal="centerContinuous" vertical="center"/>
    </xf>
    <xf numFmtId="0" fontId="8" fillId="33" borderId="26" xfId="0" applyFont="1" applyFill="1" applyBorder="1" applyAlignment="1">
      <alignment horizontal="centerContinuous" vertical="center"/>
    </xf>
    <xf numFmtId="0" fontId="5" fillId="44" borderId="24" xfId="0" applyFont="1" applyFill="1" applyBorder="1" applyAlignment="1">
      <alignment horizontal="center"/>
    </xf>
    <xf numFmtId="0" fontId="5" fillId="44" borderId="27" xfId="0" applyFont="1" applyFill="1" applyBorder="1" applyProtection="1"/>
    <xf numFmtId="0" fontId="5" fillId="44" borderId="28" xfId="0" applyFont="1" applyFill="1" applyBorder="1" applyProtection="1"/>
    <xf numFmtId="0" fontId="8" fillId="33" borderId="0" xfId="0" applyFont="1" applyFill="1" applyBorder="1" applyAlignment="1">
      <alignment vertical="center"/>
    </xf>
    <xf numFmtId="2" fontId="5" fillId="39" borderId="30" xfId="0" applyNumberFormat="1" applyFont="1" applyFill="1" applyBorder="1"/>
    <xf numFmtId="2" fontId="5" fillId="39" borderId="22" xfId="0" applyNumberFormat="1" applyFont="1" applyFill="1" applyBorder="1"/>
    <xf numFmtId="4" fontId="5" fillId="39" borderId="30" xfId="0" applyNumberFormat="1" applyFont="1" applyFill="1" applyBorder="1"/>
    <xf numFmtId="4" fontId="5" fillId="39" borderId="22" xfId="0" applyNumberFormat="1" applyFont="1" applyFill="1" applyBorder="1"/>
    <xf numFmtId="0" fontId="5" fillId="39" borderId="29" xfId="0" applyFont="1" applyFill="1" applyBorder="1" applyAlignment="1">
      <alignment horizontal="center"/>
    </xf>
    <xf numFmtId="0" fontId="5" fillId="39" borderId="31" xfId="0" applyFont="1" applyFill="1" applyBorder="1" applyAlignment="1">
      <alignment horizontal="center"/>
    </xf>
    <xf numFmtId="0" fontId="5" fillId="39" borderId="41" xfId="0" applyFont="1" applyFill="1" applyBorder="1" applyAlignment="1">
      <alignment horizontal="center"/>
    </xf>
    <xf numFmtId="0" fontId="5" fillId="39" borderId="30" xfId="0" applyFont="1" applyFill="1" applyBorder="1" applyAlignment="1">
      <alignment horizontal="center"/>
    </xf>
    <xf numFmtId="0" fontId="5" fillId="39" borderId="22" xfId="0" applyFont="1" applyFill="1" applyBorder="1" applyAlignment="1">
      <alignment horizontal="center"/>
    </xf>
    <xf numFmtId="0" fontId="5" fillId="39" borderId="32" xfId="0" applyFont="1" applyFill="1" applyBorder="1" applyAlignment="1">
      <alignment horizontal="center"/>
    </xf>
    <xf numFmtId="0" fontId="5" fillId="39" borderId="24" xfId="0" applyFont="1" applyFill="1" applyBorder="1" applyAlignment="1">
      <alignment horizontal="center"/>
    </xf>
    <xf numFmtId="164" fontId="5" fillId="36" borderId="30" xfId="0" applyNumberFormat="1" applyFont="1" applyFill="1" applyBorder="1"/>
    <xf numFmtId="164" fontId="5" fillId="36" borderId="0" xfId="0" applyNumberFormat="1" applyFont="1" applyFill="1" applyBorder="1"/>
    <xf numFmtId="166" fontId="5" fillId="36" borderId="0" xfId="0" applyNumberFormat="1" applyFont="1" applyFill="1" applyBorder="1"/>
    <xf numFmtId="0" fontId="0" fillId="33" borderId="0" xfId="0" applyFill="1" applyAlignment="1">
      <alignment horizontal="center" wrapText="1"/>
    </xf>
    <xf numFmtId="0" fontId="5" fillId="33" borderId="23" xfId="0" applyFont="1" applyFill="1" applyBorder="1" applyAlignment="1">
      <alignment horizontal="centerContinuous"/>
    </xf>
    <xf numFmtId="0" fontId="0" fillId="52" borderId="0" xfId="0" applyFill="1" applyBorder="1"/>
    <xf numFmtId="3" fontId="0" fillId="52" borderId="10" xfId="0" applyNumberFormat="1" applyFill="1" applyBorder="1"/>
    <xf numFmtId="0" fontId="8" fillId="52" borderId="0" xfId="0" applyFont="1" applyFill="1" applyBorder="1" applyAlignment="1">
      <alignment horizontal="centerContinuous"/>
    </xf>
    <xf numFmtId="0" fontId="0" fillId="33" borderId="16" xfId="0" applyFill="1" applyBorder="1"/>
    <xf numFmtId="0" fontId="0" fillId="40" borderId="40" xfId="0" applyFill="1" applyBorder="1" applyProtection="1"/>
    <xf numFmtId="0" fontId="0" fillId="40" borderId="51" xfId="0" applyFill="1" applyBorder="1" applyProtection="1"/>
    <xf numFmtId="0" fontId="5" fillId="40" borderId="54" xfId="0" applyFont="1" applyFill="1" applyBorder="1" applyProtection="1"/>
    <xf numFmtId="0" fontId="5" fillId="40" borderId="55" xfId="0" applyFont="1" applyFill="1" applyBorder="1" applyProtection="1"/>
    <xf numFmtId="4" fontId="5" fillId="47" borderId="30" xfId="0" applyNumberFormat="1" applyFont="1" applyFill="1" applyBorder="1" applyProtection="1"/>
    <xf numFmtId="4" fontId="5" fillId="47" borderId="0" xfId="0" applyNumberFormat="1" applyFont="1" applyFill="1" applyBorder="1" applyProtection="1"/>
    <xf numFmtId="0" fontId="0" fillId="52" borderId="16" xfId="0" applyFill="1" applyBorder="1"/>
    <xf numFmtId="3" fontId="0" fillId="52" borderId="49" xfId="0" applyNumberFormat="1" applyFill="1" applyBorder="1"/>
    <xf numFmtId="2" fontId="5" fillId="41" borderId="30" xfId="0" applyNumberFormat="1" applyFont="1" applyFill="1" applyBorder="1"/>
    <xf numFmtId="2" fontId="5" fillId="41" borderId="0" xfId="0" applyNumberFormat="1" applyFont="1" applyFill="1" applyBorder="1"/>
    <xf numFmtId="2" fontId="5" fillId="41" borderId="22" xfId="0" applyNumberFormat="1" applyFont="1" applyFill="1" applyBorder="1"/>
    <xf numFmtId="0" fontId="5" fillId="41" borderId="32" xfId="0" applyFont="1" applyFill="1" applyBorder="1"/>
    <xf numFmtId="0" fontId="5" fillId="41" borderId="23" xfId="0" applyFont="1" applyFill="1" applyBorder="1"/>
    <xf numFmtId="0" fontId="5" fillId="41" borderId="24" xfId="0" applyFont="1" applyFill="1" applyBorder="1"/>
    <xf numFmtId="164" fontId="5" fillId="36" borderId="10" xfId="0" applyNumberFormat="1" applyFont="1" applyFill="1" applyBorder="1" applyAlignment="1"/>
    <xf numFmtId="166" fontId="5" fillId="36" borderId="10" xfId="0" applyNumberFormat="1" applyFont="1" applyFill="1" applyBorder="1" applyAlignment="1"/>
    <xf numFmtId="0" fontId="5" fillId="36" borderId="0" xfId="0" applyFont="1" applyFill="1" applyBorder="1"/>
    <xf numFmtId="0" fontId="5" fillId="36" borderId="30" xfId="0" applyFont="1" applyFill="1" applyBorder="1"/>
    <xf numFmtId="1" fontId="5" fillId="36" borderId="30" xfId="0" applyNumberFormat="1" applyFont="1" applyFill="1" applyBorder="1"/>
    <xf numFmtId="1" fontId="5" fillId="36" borderId="0" xfId="0" applyNumberFormat="1" applyFont="1" applyFill="1" applyBorder="1"/>
    <xf numFmtId="164" fontId="5" fillId="36" borderId="32" xfId="0" applyNumberFormat="1" applyFont="1" applyFill="1" applyBorder="1"/>
    <xf numFmtId="164" fontId="5" fillId="36" borderId="23" xfId="0" applyNumberFormat="1" applyFont="1" applyFill="1" applyBorder="1"/>
    <xf numFmtId="166" fontId="5" fillId="36" borderId="23" xfId="0" applyNumberFormat="1" applyFont="1" applyFill="1" applyBorder="1"/>
    <xf numFmtId="0" fontId="5" fillId="36" borderId="22" xfId="0" applyFont="1" applyFill="1" applyBorder="1"/>
    <xf numFmtId="164" fontId="5" fillId="36" borderId="22" xfId="0" applyNumberFormat="1" applyFont="1" applyFill="1" applyBorder="1"/>
    <xf numFmtId="1" fontId="5" fillId="36" borderId="32" xfId="0" applyNumberFormat="1" applyFont="1" applyFill="1" applyBorder="1"/>
    <xf numFmtId="1" fontId="5" fillId="36" borderId="23" xfId="0" applyNumberFormat="1" applyFont="1" applyFill="1" applyBorder="1"/>
    <xf numFmtId="164" fontId="5" fillId="36" borderId="24" xfId="0" applyNumberFormat="1" applyFont="1" applyFill="1" applyBorder="1"/>
    <xf numFmtId="0" fontId="8" fillId="33" borderId="0" xfId="0" applyFont="1" applyFill="1" applyBorder="1" applyAlignment="1" applyProtection="1">
      <alignment horizontal="centerContinuous" vertical="center"/>
    </xf>
    <xf numFmtId="0" fontId="23" fillId="44" borderId="57" xfId="0" applyFont="1" applyFill="1" applyBorder="1" applyAlignment="1" applyProtection="1">
      <alignment horizontal="center"/>
    </xf>
    <xf numFmtId="0" fontId="0" fillId="44" borderId="47" xfId="0" applyFill="1" applyBorder="1" applyAlignment="1" applyProtection="1">
      <alignment horizontal="center"/>
    </xf>
    <xf numFmtId="0" fontId="5" fillId="44" borderId="47" xfId="0" applyFont="1" applyFill="1" applyBorder="1" applyAlignment="1" applyProtection="1">
      <alignment horizontal="center"/>
    </xf>
    <xf numFmtId="0" fontId="0" fillId="44" borderId="35" xfId="0" applyFill="1" applyBorder="1" applyAlignment="1" applyProtection="1">
      <alignment horizontal="center"/>
    </xf>
    <xf numFmtId="0" fontId="0" fillId="44" borderId="58" xfId="0" applyFill="1" applyBorder="1" applyAlignment="1" applyProtection="1">
      <alignment horizontal="center"/>
    </xf>
    <xf numFmtId="0" fontId="8" fillId="33" borderId="0" xfId="0" applyFont="1" applyFill="1" applyBorder="1"/>
    <xf numFmtId="0" fontId="8" fillId="33" borderId="22" xfId="0" applyFont="1" applyFill="1" applyBorder="1" applyAlignment="1" applyProtection="1">
      <alignment horizontal="centerContinuous" vertical="center"/>
    </xf>
    <xf numFmtId="0" fontId="8" fillId="52" borderId="0" xfId="0" applyFont="1" applyFill="1" applyBorder="1" applyAlignment="1">
      <alignment horizontal="center"/>
    </xf>
    <xf numFmtId="3" fontId="0" fillId="52" borderId="10" xfId="0" applyNumberFormat="1" applyFill="1" applyBorder="1" applyAlignment="1">
      <alignment horizontal="center"/>
    </xf>
    <xf numFmtId="164" fontId="5" fillId="36" borderId="30" xfId="0" applyNumberFormat="1" applyFont="1" applyFill="1" applyBorder="1" applyAlignment="1">
      <alignment horizontal="right"/>
    </xf>
    <xf numFmtId="164" fontId="5" fillId="36" borderId="32" xfId="0" applyNumberFormat="1" applyFont="1" applyFill="1" applyBorder="1" applyAlignment="1">
      <alignment horizontal="right"/>
    </xf>
    <xf numFmtId="2" fontId="5" fillId="44" borderId="27" xfId="0" applyNumberFormat="1" applyFont="1" applyFill="1" applyBorder="1" applyProtection="1"/>
    <xf numFmtId="3" fontId="8" fillId="49" borderId="20" xfId="0" applyNumberFormat="1" applyFont="1" applyFill="1" applyBorder="1" applyProtection="1"/>
    <xf numFmtId="0" fontId="5" fillId="44" borderId="21" xfId="0" applyFont="1" applyFill="1" applyBorder="1" applyAlignment="1" applyProtection="1">
      <alignment horizontal="center"/>
    </xf>
    <xf numFmtId="2" fontId="5" fillId="44" borderId="18" xfId="0" applyNumberFormat="1" applyFont="1" applyFill="1" applyBorder="1" applyProtection="1"/>
    <xf numFmtId="164" fontId="5" fillId="44" borderId="18" xfId="0" applyNumberFormat="1" applyFont="1" applyFill="1" applyBorder="1" applyProtection="1"/>
    <xf numFmtId="0" fontId="5" fillId="44" borderId="18" xfId="0" applyFont="1" applyFill="1" applyBorder="1" applyAlignment="1" applyProtection="1">
      <alignment horizontal="right"/>
    </xf>
    <xf numFmtId="3" fontId="5" fillId="44" borderId="18" xfId="0" applyNumberFormat="1" applyFont="1" applyFill="1" applyBorder="1" applyProtection="1"/>
    <xf numFmtId="4" fontId="5" fillId="44" borderId="18" xfId="0" applyNumberFormat="1" applyFont="1" applyFill="1" applyBorder="1" applyProtection="1"/>
    <xf numFmtId="0" fontId="5" fillId="35" borderId="33" xfId="0" applyFont="1" applyFill="1" applyBorder="1" applyAlignment="1">
      <alignment horizontal="centerContinuous"/>
    </xf>
    <xf numFmtId="0" fontId="5" fillId="36" borderId="33" xfId="0" applyFont="1" applyFill="1" applyBorder="1" applyAlignment="1">
      <alignment horizontal="centerContinuous"/>
    </xf>
    <xf numFmtId="0" fontId="5" fillId="54" borderId="33" xfId="0" applyFont="1" applyFill="1" applyBorder="1" applyAlignment="1">
      <alignment horizontal="centerContinuous"/>
    </xf>
    <xf numFmtId="0" fontId="5" fillId="37" borderId="33" xfId="0" applyFont="1" applyFill="1" applyBorder="1" applyAlignment="1">
      <alignment horizontal="centerContinuous"/>
    </xf>
    <xf numFmtId="0" fontId="5" fillId="38" borderId="33" xfId="0" applyFont="1" applyFill="1" applyBorder="1" applyAlignment="1">
      <alignment horizontal="centerContinuous"/>
    </xf>
    <xf numFmtId="0" fontId="5" fillId="55" borderId="33" xfId="0" applyFont="1" applyFill="1" applyBorder="1" applyAlignment="1">
      <alignment horizontal="centerContinuous"/>
    </xf>
    <xf numFmtId="0" fontId="5" fillId="53" borderId="33" xfId="0" applyFont="1" applyFill="1" applyBorder="1" applyAlignment="1">
      <alignment horizontal="centerContinuous"/>
    </xf>
    <xf numFmtId="0" fontId="0" fillId="35" borderId="33" xfId="0" applyFill="1" applyBorder="1" applyAlignment="1">
      <alignment horizontal="center"/>
    </xf>
    <xf numFmtId="0" fontId="0" fillId="54" borderId="33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0" fillId="38" borderId="33" xfId="0" applyFill="1" applyBorder="1" applyAlignment="1">
      <alignment horizontal="center"/>
    </xf>
    <xf numFmtId="0" fontId="0" fillId="55" borderId="33" xfId="0" applyFill="1" applyBorder="1" applyAlignment="1">
      <alignment horizontal="center"/>
    </xf>
    <xf numFmtId="0" fontId="0" fillId="53" borderId="33" xfId="0" applyFill="1" applyBorder="1" applyAlignment="1">
      <alignment horizontal="center"/>
    </xf>
    <xf numFmtId="0" fontId="0" fillId="53" borderId="26" xfId="0" applyFill="1" applyBorder="1" applyAlignment="1">
      <alignment horizontal="center"/>
    </xf>
    <xf numFmtId="0" fontId="5" fillId="53" borderId="26" xfId="0" applyFont="1" applyFill="1" applyBorder="1" applyAlignment="1">
      <alignment horizontal="centerContinuous"/>
    </xf>
    <xf numFmtId="0" fontId="5" fillId="35" borderId="25" xfId="0" applyFont="1" applyFill="1" applyBorder="1" applyAlignment="1">
      <alignment horizontal="centerContinuous"/>
    </xf>
    <xf numFmtId="0" fontId="0" fillId="35" borderId="25" xfId="0" applyFill="1" applyBorder="1" applyAlignment="1">
      <alignment horizontal="center"/>
    </xf>
    <xf numFmtId="0" fontId="0" fillId="33" borderId="25" xfId="0" applyFill="1" applyBorder="1"/>
    <xf numFmtId="0" fontId="0" fillId="33" borderId="25" xfId="0" applyFill="1" applyBorder="1" applyAlignment="1">
      <alignment horizontal="center"/>
    </xf>
    <xf numFmtId="0" fontId="0" fillId="33" borderId="30" xfId="0" applyFill="1" applyBorder="1"/>
    <xf numFmtId="0" fontId="0" fillId="33" borderId="32" xfId="0" applyFill="1" applyBorder="1"/>
    <xf numFmtId="0" fontId="0" fillId="33" borderId="29" xfId="0" applyFill="1" applyBorder="1"/>
    <xf numFmtId="167" fontId="8" fillId="35" borderId="0" xfId="0" applyNumberFormat="1" applyFont="1" applyFill="1" applyBorder="1"/>
    <xf numFmtId="3" fontId="8" fillId="35" borderId="0" xfId="0" applyNumberFormat="1" applyFont="1" applyFill="1" applyBorder="1"/>
    <xf numFmtId="167" fontId="8" fillId="36" borderId="0" xfId="0" applyNumberFormat="1" applyFont="1" applyFill="1" applyBorder="1"/>
    <xf numFmtId="3" fontId="8" fillId="36" borderId="0" xfId="0" applyNumberFormat="1" applyFont="1" applyFill="1" applyBorder="1"/>
    <xf numFmtId="167" fontId="8" fillId="54" borderId="0" xfId="0" applyNumberFormat="1" applyFont="1" applyFill="1" applyBorder="1"/>
    <xf numFmtId="3" fontId="8" fillId="54" borderId="0" xfId="0" applyNumberFormat="1" applyFont="1" applyFill="1" applyBorder="1"/>
    <xf numFmtId="167" fontId="8" fillId="37" borderId="0" xfId="0" applyNumberFormat="1" applyFont="1" applyFill="1" applyBorder="1"/>
    <xf numFmtId="3" fontId="8" fillId="37" borderId="0" xfId="0" applyNumberFormat="1" applyFont="1" applyFill="1" applyBorder="1"/>
    <xf numFmtId="167" fontId="8" fillId="38" borderId="0" xfId="0" applyNumberFormat="1" applyFont="1" applyFill="1" applyBorder="1"/>
    <xf numFmtId="3" fontId="8" fillId="38" borderId="0" xfId="0" applyNumberFormat="1" applyFont="1" applyFill="1" applyBorder="1"/>
    <xf numFmtId="166" fontId="8" fillId="55" borderId="0" xfId="0" applyNumberFormat="1" applyFont="1" applyFill="1" applyBorder="1"/>
    <xf numFmtId="3" fontId="8" fillId="55" borderId="0" xfId="0" applyNumberFormat="1" applyFont="1" applyFill="1" applyBorder="1"/>
    <xf numFmtId="167" fontId="8" fillId="53" borderId="0" xfId="0" applyNumberFormat="1" applyFont="1" applyFill="1" applyBorder="1"/>
    <xf numFmtId="3" fontId="8" fillId="53" borderId="0" xfId="0" applyNumberFormat="1" applyFont="1" applyFill="1" applyBorder="1"/>
    <xf numFmtId="0" fontId="5" fillId="40" borderId="56" xfId="0" applyFont="1" applyFill="1" applyBorder="1" applyProtection="1"/>
    <xf numFmtId="2" fontId="5" fillId="47" borderId="16" xfId="0" applyNumberFormat="1" applyFont="1" applyFill="1" applyBorder="1" applyProtection="1"/>
    <xf numFmtId="2" fontId="5" fillId="44" borderId="19" xfId="0" applyNumberFormat="1" applyFont="1" applyFill="1" applyBorder="1" applyProtection="1"/>
    <xf numFmtId="2" fontId="5" fillId="34" borderId="16" xfId="0" applyNumberFormat="1" applyFont="1" applyFill="1" applyBorder="1" applyProtection="1"/>
    <xf numFmtId="2" fontId="5" fillId="47" borderId="38" xfId="0" applyNumberFormat="1" applyFont="1" applyFill="1" applyBorder="1" applyProtection="1"/>
    <xf numFmtId="2" fontId="5" fillId="44" borderId="14" xfId="0" applyNumberFormat="1" applyFont="1" applyFill="1" applyBorder="1" applyProtection="1"/>
    <xf numFmtId="2" fontId="5" fillId="44" borderId="16" xfId="0" applyNumberFormat="1" applyFont="1" applyFill="1" applyBorder="1" applyProtection="1"/>
    <xf numFmtId="0" fontId="8" fillId="52" borderId="0" xfId="0" applyFont="1" applyFill="1" applyBorder="1" applyAlignment="1" applyProtection="1">
      <alignment horizontal="centerContinuous"/>
      <protection locked="0"/>
    </xf>
    <xf numFmtId="1" fontId="5" fillId="33" borderId="27" xfId="0" applyNumberFormat="1" applyFont="1" applyFill="1" applyBorder="1" applyProtection="1">
      <protection locked="0"/>
    </xf>
    <xf numFmtId="2" fontId="5" fillId="33" borderId="29" xfId="0" applyNumberFormat="1" applyFont="1" applyFill="1" applyBorder="1" applyProtection="1">
      <protection locked="0"/>
    </xf>
    <xf numFmtId="2" fontId="5" fillId="33" borderId="31" xfId="0" applyNumberFormat="1" applyFont="1" applyFill="1" applyBorder="1" applyProtection="1">
      <protection locked="0"/>
    </xf>
    <xf numFmtId="2" fontId="5" fillId="33" borderId="41" xfId="0" applyNumberFormat="1" applyFont="1" applyFill="1" applyBorder="1" applyProtection="1">
      <protection locked="0"/>
    </xf>
    <xf numFmtId="1" fontId="5" fillId="33" borderId="20" xfId="0" applyNumberFormat="1" applyFont="1" applyFill="1" applyBorder="1" applyProtection="1">
      <protection locked="0"/>
    </xf>
    <xf numFmtId="2" fontId="5" fillId="33" borderId="30" xfId="0" applyNumberFormat="1" applyFont="1" applyFill="1" applyBorder="1" applyProtection="1">
      <protection locked="0"/>
    </xf>
    <xf numFmtId="2" fontId="5" fillId="33" borderId="0" xfId="0" applyNumberFormat="1" applyFont="1" applyFill="1" applyBorder="1" applyProtection="1">
      <protection locked="0"/>
    </xf>
    <xf numFmtId="2" fontId="5" fillId="33" borderId="22" xfId="0" applyNumberFormat="1" applyFont="1" applyFill="1" applyBorder="1" applyProtection="1">
      <protection locked="0"/>
    </xf>
    <xf numFmtId="4" fontId="5" fillId="33" borderId="30" xfId="0" applyNumberFormat="1" applyFont="1" applyFill="1" applyBorder="1" applyProtection="1">
      <protection locked="0"/>
    </xf>
    <xf numFmtId="4" fontId="5" fillId="33" borderId="0" xfId="0" applyNumberFormat="1" applyFont="1" applyFill="1" applyBorder="1" applyProtection="1">
      <protection locked="0"/>
    </xf>
    <xf numFmtId="4" fontId="5" fillId="33" borderId="22" xfId="0" applyNumberFormat="1" applyFont="1" applyFill="1" applyBorder="1" applyProtection="1">
      <protection locked="0"/>
    </xf>
    <xf numFmtId="1" fontId="5" fillId="33" borderId="28" xfId="0" applyNumberFormat="1" applyFont="1" applyFill="1" applyBorder="1" applyProtection="1">
      <protection locked="0"/>
    </xf>
    <xf numFmtId="4" fontId="5" fillId="33" borderId="32" xfId="0" applyNumberFormat="1" applyFont="1" applyFill="1" applyBorder="1" applyProtection="1">
      <protection locked="0"/>
    </xf>
    <xf numFmtId="4" fontId="5" fillId="33" borderId="23" xfId="0" applyNumberFormat="1" applyFont="1" applyFill="1" applyBorder="1" applyProtection="1">
      <protection locked="0"/>
    </xf>
    <xf numFmtId="4" fontId="5" fillId="33" borderId="24" xfId="0" applyNumberFormat="1" applyFont="1" applyFill="1" applyBorder="1" applyProtection="1">
      <protection locked="0"/>
    </xf>
    <xf numFmtId="2" fontId="0" fillId="33" borderId="26" xfId="0" applyNumberFormat="1" applyFill="1" applyBorder="1" applyProtection="1">
      <protection locked="0"/>
    </xf>
    <xf numFmtId="164" fontId="0" fillId="33" borderId="26" xfId="0" applyNumberFormat="1" applyFill="1" applyBorder="1" applyProtection="1">
      <protection locked="0"/>
    </xf>
    <xf numFmtId="166" fontId="0" fillId="33" borderId="10" xfId="0" applyNumberFormat="1" applyFill="1" applyBorder="1" applyProtection="1">
      <protection locked="0"/>
    </xf>
    <xf numFmtId="1" fontId="0" fillId="33" borderId="10" xfId="0" applyNumberFormat="1" applyFill="1" applyBorder="1" applyProtection="1">
      <protection locked="0"/>
    </xf>
    <xf numFmtId="167" fontId="0" fillId="35" borderId="29" xfId="0" applyNumberFormat="1" applyFill="1" applyBorder="1" applyProtection="1">
      <protection locked="0"/>
    </xf>
    <xf numFmtId="3" fontId="0" fillId="35" borderId="31" xfId="0" applyNumberFormat="1" applyFill="1" applyBorder="1" applyProtection="1">
      <protection locked="0"/>
    </xf>
    <xf numFmtId="167" fontId="0" fillId="36" borderId="31" xfId="0" applyNumberFormat="1" applyFill="1" applyBorder="1" applyProtection="1">
      <protection locked="0"/>
    </xf>
    <xf numFmtId="3" fontId="0" fillId="36" borderId="31" xfId="0" applyNumberFormat="1" applyFill="1" applyBorder="1" applyProtection="1">
      <protection locked="0"/>
    </xf>
    <xf numFmtId="167" fontId="0" fillId="54" borderId="31" xfId="0" applyNumberFormat="1" applyFill="1" applyBorder="1" applyProtection="1">
      <protection locked="0"/>
    </xf>
    <xf numFmtId="3" fontId="0" fillId="54" borderId="31" xfId="0" applyNumberFormat="1" applyFill="1" applyBorder="1" applyProtection="1">
      <protection locked="0"/>
    </xf>
    <xf numFmtId="167" fontId="0" fillId="37" borderId="31" xfId="0" applyNumberFormat="1" applyFill="1" applyBorder="1" applyProtection="1">
      <protection locked="0"/>
    </xf>
    <xf numFmtId="3" fontId="0" fillId="37" borderId="31" xfId="0" applyNumberFormat="1" applyFill="1" applyBorder="1" applyProtection="1">
      <protection locked="0"/>
    </xf>
    <xf numFmtId="167" fontId="0" fillId="38" borderId="31" xfId="0" applyNumberFormat="1" applyFill="1" applyBorder="1" applyProtection="1">
      <protection locked="0"/>
    </xf>
    <xf numFmtId="3" fontId="0" fillId="38" borderId="31" xfId="0" applyNumberFormat="1" applyFill="1" applyBorder="1" applyProtection="1">
      <protection locked="0"/>
    </xf>
    <xf numFmtId="166" fontId="0" fillId="55" borderId="31" xfId="0" applyNumberFormat="1" applyFill="1" applyBorder="1" applyProtection="1">
      <protection locked="0"/>
    </xf>
    <xf numFmtId="3" fontId="0" fillId="55" borderId="31" xfId="0" applyNumberFormat="1" applyFill="1" applyBorder="1" applyProtection="1">
      <protection locked="0"/>
    </xf>
    <xf numFmtId="167" fontId="0" fillId="53" borderId="31" xfId="0" applyNumberFormat="1" applyFill="1" applyBorder="1" applyProtection="1">
      <protection locked="0"/>
    </xf>
    <xf numFmtId="3" fontId="0" fillId="53" borderId="41" xfId="0" applyNumberFormat="1" applyFill="1" applyBorder="1" applyProtection="1">
      <protection locked="0"/>
    </xf>
    <xf numFmtId="167" fontId="0" fillId="35" borderId="30" xfId="0" applyNumberFormat="1" applyFill="1" applyBorder="1" applyProtection="1">
      <protection locked="0"/>
    </xf>
    <xf numFmtId="3" fontId="0" fillId="35" borderId="0" xfId="0" applyNumberFormat="1" applyFill="1" applyBorder="1" applyProtection="1">
      <protection locked="0"/>
    </xf>
    <xf numFmtId="167" fontId="0" fillId="36" borderId="0" xfId="0" applyNumberFormat="1" applyFill="1" applyBorder="1" applyProtection="1">
      <protection locked="0"/>
    </xf>
    <xf numFmtId="3" fontId="0" fillId="36" borderId="0" xfId="0" applyNumberFormat="1" applyFill="1" applyBorder="1" applyProtection="1">
      <protection locked="0"/>
    </xf>
    <xf numFmtId="167" fontId="0" fillId="54" borderId="0" xfId="0" applyNumberFormat="1" applyFill="1" applyBorder="1" applyProtection="1">
      <protection locked="0"/>
    </xf>
    <xf numFmtId="3" fontId="0" fillId="54" borderId="0" xfId="0" applyNumberFormat="1" applyFill="1" applyBorder="1" applyProtection="1">
      <protection locked="0"/>
    </xf>
    <xf numFmtId="167" fontId="0" fillId="37" borderId="0" xfId="0" applyNumberFormat="1" applyFill="1" applyBorder="1" applyProtection="1">
      <protection locked="0"/>
    </xf>
    <xf numFmtId="3" fontId="0" fillId="37" borderId="0" xfId="0" applyNumberFormat="1" applyFill="1" applyBorder="1" applyProtection="1">
      <protection locked="0"/>
    </xf>
    <xf numFmtId="167" fontId="0" fillId="38" borderId="0" xfId="0" applyNumberFormat="1" applyFill="1" applyBorder="1" applyProtection="1">
      <protection locked="0"/>
    </xf>
    <xf numFmtId="3" fontId="0" fillId="38" borderId="0" xfId="0" applyNumberFormat="1" applyFill="1" applyBorder="1" applyProtection="1">
      <protection locked="0"/>
    </xf>
    <xf numFmtId="166" fontId="0" fillId="55" borderId="0" xfId="0" applyNumberFormat="1" applyFill="1" applyBorder="1" applyProtection="1">
      <protection locked="0"/>
    </xf>
    <xf numFmtId="3" fontId="0" fillId="55" borderId="0" xfId="0" applyNumberFormat="1" applyFill="1" applyBorder="1" applyProtection="1">
      <protection locked="0"/>
    </xf>
    <xf numFmtId="167" fontId="0" fillId="53" borderId="0" xfId="0" applyNumberFormat="1" applyFill="1" applyBorder="1" applyProtection="1">
      <protection locked="0"/>
    </xf>
    <xf numFmtId="3" fontId="0" fillId="53" borderId="22" xfId="0" applyNumberFormat="1" applyFill="1" applyBorder="1" applyProtection="1">
      <protection locked="0"/>
    </xf>
    <xf numFmtId="167" fontId="0" fillId="35" borderId="32" xfId="0" applyNumberFormat="1" applyFill="1" applyBorder="1" applyProtection="1">
      <protection locked="0"/>
    </xf>
    <xf numFmtId="3" fontId="0" fillId="35" borderId="23" xfId="0" applyNumberFormat="1" applyFill="1" applyBorder="1" applyProtection="1">
      <protection locked="0"/>
    </xf>
    <xf numFmtId="167" fontId="0" fillId="36" borderId="23" xfId="0" applyNumberFormat="1" applyFill="1" applyBorder="1" applyProtection="1">
      <protection locked="0"/>
    </xf>
    <xf numFmtId="3" fontId="0" fillId="36" borderId="23" xfId="0" applyNumberFormat="1" applyFill="1" applyBorder="1" applyProtection="1">
      <protection locked="0"/>
    </xf>
    <xf numFmtId="167" fontId="0" fillId="54" borderId="23" xfId="0" applyNumberFormat="1" applyFill="1" applyBorder="1" applyProtection="1">
      <protection locked="0"/>
    </xf>
    <xf numFmtId="3" fontId="0" fillId="54" borderId="23" xfId="0" applyNumberFormat="1" applyFill="1" applyBorder="1" applyProtection="1">
      <protection locked="0"/>
    </xf>
    <xf numFmtId="167" fontId="0" fillId="37" borderId="23" xfId="0" applyNumberFormat="1" applyFill="1" applyBorder="1" applyProtection="1">
      <protection locked="0"/>
    </xf>
    <xf numFmtId="3" fontId="0" fillId="37" borderId="23" xfId="0" applyNumberFormat="1" applyFill="1" applyBorder="1" applyProtection="1">
      <protection locked="0"/>
    </xf>
    <xf numFmtId="167" fontId="0" fillId="38" borderId="23" xfId="0" applyNumberFormat="1" applyFill="1" applyBorder="1" applyProtection="1">
      <protection locked="0"/>
    </xf>
    <xf numFmtId="3" fontId="0" fillId="38" borderId="23" xfId="0" applyNumberFormat="1" applyFill="1" applyBorder="1" applyProtection="1">
      <protection locked="0"/>
    </xf>
    <xf numFmtId="166" fontId="0" fillId="55" borderId="23" xfId="0" applyNumberFormat="1" applyFill="1" applyBorder="1" applyProtection="1">
      <protection locked="0"/>
    </xf>
    <xf numFmtId="3" fontId="0" fillId="55" borderId="23" xfId="0" applyNumberFormat="1" applyFill="1" applyBorder="1" applyProtection="1">
      <protection locked="0"/>
    </xf>
    <xf numFmtId="167" fontId="0" fillId="53" borderId="23" xfId="0" applyNumberFormat="1" applyFill="1" applyBorder="1" applyProtection="1">
      <protection locked="0"/>
    </xf>
    <xf numFmtId="3" fontId="0" fillId="53" borderId="24" xfId="0" applyNumberFormat="1" applyFill="1" applyBorder="1" applyProtection="1">
      <protection locked="0"/>
    </xf>
    <xf numFmtId="164" fontId="5" fillId="53" borderId="26" xfId="0" applyNumberFormat="1" applyFont="1" applyFill="1" applyBorder="1" applyProtection="1">
      <protection locked="0"/>
    </xf>
    <xf numFmtId="164" fontId="5" fillId="53" borderId="10" xfId="0" applyNumberFormat="1" applyFont="1" applyFill="1" applyBorder="1" applyProtection="1">
      <protection locked="0"/>
    </xf>
    <xf numFmtId="166" fontId="5" fillId="53" borderId="10" xfId="0" applyNumberFormat="1" applyFont="1" applyFill="1" applyBorder="1" applyProtection="1">
      <protection locked="0"/>
    </xf>
    <xf numFmtId="164" fontId="5" fillId="53" borderId="25" xfId="0" applyNumberFormat="1" applyFont="1" applyFill="1" applyBorder="1" applyProtection="1">
      <protection locked="0"/>
    </xf>
    <xf numFmtId="164" fontId="5" fillId="33" borderId="29" xfId="0" applyNumberFormat="1" applyFont="1" applyFill="1" applyBorder="1" applyProtection="1">
      <protection locked="0"/>
    </xf>
    <xf numFmtId="1" fontId="5" fillId="33" borderId="30" xfId="0" applyNumberFormat="1" applyFont="1" applyFill="1" applyBorder="1" applyProtection="1">
      <protection locked="0"/>
    </xf>
    <xf numFmtId="164" fontId="5" fillId="33" borderId="31" xfId="0" applyNumberFormat="1" applyFont="1" applyFill="1" applyBorder="1" applyProtection="1">
      <protection locked="0"/>
    </xf>
    <xf numFmtId="166" fontId="5" fillId="33" borderId="31" xfId="0" applyNumberFormat="1" applyFont="1" applyFill="1" applyBorder="1" applyProtection="1">
      <protection locked="0"/>
    </xf>
    <xf numFmtId="164" fontId="5" fillId="33" borderId="41" xfId="0" applyNumberFormat="1" applyFont="1" applyFill="1" applyBorder="1" applyProtection="1">
      <protection locked="0"/>
    </xf>
    <xf numFmtId="164" fontId="5" fillId="33" borderId="30" xfId="0" applyNumberFormat="1" applyFont="1" applyFill="1" applyBorder="1" applyProtection="1">
      <protection locked="0"/>
    </xf>
    <xf numFmtId="164" fontId="5" fillId="33" borderId="0" xfId="0" applyNumberFormat="1" applyFont="1" applyFill="1" applyBorder="1" applyProtection="1">
      <protection locked="0"/>
    </xf>
    <xf numFmtId="166" fontId="5" fillId="33" borderId="0" xfId="0" applyNumberFormat="1" applyFont="1" applyFill="1" applyBorder="1" applyProtection="1">
      <protection locked="0"/>
    </xf>
    <xf numFmtId="164" fontId="5" fillId="33" borderId="22" xfId="0" applyNumberFormat="1" applyFont="1" applyFill="1" applyBorder="1" applyProtection="1">
      <protection locked="0"/>
    </xf>
    <xf numFmtId="1" fontId="5" fillId="33" borderId="32" xfId="0" applyNumberFormat="1" applyFont="1" applyFill="1" applyBorder="1" applyProtection="1">
      <protection locked="0"/>
    </xf>
    <xf numFmtId="164" fontId="5" fillId="33" borderId="32" xfId="0" applyNumberFormat="1" applyFont="1" applyFill="1" applyBorder="1" applyProtection="1">
      <protection locked="0"/>
    </xf>
    <xf numFmtId="164" fontId="5" fillId="33" borderId="23" xfId="0" applyNumberFormat="1" applyFont="1" applyFill="1" applyBorder="1" applyProtection="1">
      <protection locked="0"/>
    </xf>
    <xf numFmtId="166" fontId="5" fillId="33" borderId="23" xfId="0" applyNumberFormat="1" applyFont="1" applyFill="1" applyBorder="1" applyProtection="1">
      <protection locked="0"/>
    </xf>
    <xf numFmtId="164" fontId="5" fillId="33" borderId="24" xfId="0" applyNumberFormat="1" applyFont="1" applyFill="1" applyBorder="1" applyProtection="1">
      <protection locked="0"/>
    </xf>
    <xf numFmtId="166" fontId="5" fillId="53" borderId="25" xfId="0" applyNumberFormat="1" applyFont="1" applyFill="1" applyBorder="1" applyProtection="1">
      <protection locked="0"/>
    </xf>
    <xf numFmtId="2" fontId="5" fillId="53" borderId="10" xfId="0" applyNumberFormat="1" applyFont="1" applyFill="1" applyBorder="1" applyProtection="1">
      <protection locked="0"/>
    </xf>
    <xf numFmtId="2" fontId="5" fillId="53" borderId="25" xfId="0" applyNumberFormat="1" applyFont="1" applyFill="1" applyBorder="1" applyProtection="1">
      <protection locked="0"/>
    </xf>
    <xf numFmtId="3" fontId="5" fillId="44" borderId="20" xfId="0" applyNumberFormat="1" applyFont="1" applyFill="1" applyBorder="1" applyProtection="1"/>
    <xf numFmtId="0" fontId="0" fillId="33" borderId="0" xfId="0" applyFill="1" applyProtection="1"/>
    <xf numFmtId="0" fontId="0" fillId="0" borderId="0" xfId="0" applyBorder="1" applyProtection="1"/>
    <xf numFmtId="0" fontId="5" fillId="33" borderId="0" xfId="0" applyFont="1" applyFill="1" applyProtection="1"/>
    <xf numFmtId="0" fontId="0" fillId="0" borderId="0" xfId="0" applyProtection="1"/>
    <xf numFmtId="0" fontId="5" fillId="33" borderId="23" xfId="0" applyFont="1" applyFill="1" applyBorder="1" applyProtection="1"/>
    <xf numFmtId="0" fontId="5" fillId="34" borderId="28" xfId="0" applyFont="1" applyFill="1" applyBorder="1" applyProtection="1"/>
    <xf numFmtId="0" fontId="28" fillId="0" borderId="23" xfId="0" applyFont="1" applyBorder="1" applyProtection="1">
      <protection locked="0"/>
    </xf>
  </cellXfs>
  <cellStyles count="45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9"/>
    <cellStyle name="Calculation 2" xfId="13"/>
    <cellStyle name="Check Cell 2" xfId="15"/>
    <cellStyle name="Explanatory Text 2" xfId="17"/>
    <cellStyle name="Good 2" xfId="8"/>
    <cellStyle name="Heading 1 2" xfId="4"/>
    <cellStyle name="Heading 2 2" xfId="5"/>
    <cellStyle name="Heading 3 2" xfId="6"/>
    <cellStyle name="Heading 4 2" xfId="7"/>
    <cellStyle name="Input 2" xfId="11"/>
    <cellStyle name="Linked Cell 2" xfId="14"/>
    <cellStyle name="Neutral 2" xfId="10"/>
    <cellStyle name="Normal" xfId="0" builtinId="0"/>
    <cellStyle name="Normal 2" xfId="3"/>
    <cellStyle name="Normal 3" xfId="43"/>
    <cellStyle name="Normal 4" xfId="2"/>
    <cellStyle name="Note 2" xfId="44"/>
    <cellStyle name="Output 2" xfId="12"/>
    <cellStyle name="Title" xfId="1" builtinId="15" customBuiltin="1"/>
    <cellStyle name="Total 2" xfId="18"/>
    <cellStyle name="Warning Text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7620</xdr:rowOff>
    </xdr:from>
    <xdr:to>
      <xdr:col>7</xdr:col>
      <xdr:colOff>556260</xdr:colOff>
      <xdr:row>2</xdr:row>
      <xdr:rowOff>167640</xdr:rowOff>
    </xdr:to>
    <xdr:pic>
      <xdr:nvPicPr>
        <xdr:cNvPr id="2" name="Picture 1" descr="C:\Documents and Settings\AFlanders\My Documents\Current My Documents\Administrative\UA-color-cnt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7600" y="7620"/>
          <a:ext cx="11658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99"/>
  <sheetViews>
    <sheetView workbookViewId="0">
      <selection activeCell="B3" sqref="B3"/>
    </sheetView>
  </sheetViews>
  <sheetFormatPr defaultRowHeight="13.8" x14ac:dyDescent="0.25"/>
  <cols>
    <col min="1" max="1" width="36.33203125" customWidth="1"/>
    <col min="10" max="10" width="0.88671875" customWidth="1"/>
    <col min="19" max="19" width="0.88671875" customWidth="1"/>
    <col min="28" max="28" width="0.88671875" customWidth="1"/>
    <col min="31" max="31" width="15.6640625" customWidth="1"/>
    <col min="32" max="32" width="9.33203125" customWidth="1"/>
    <col min="33" max="33" width="6.88671875" customWidth="1"/>
    <col min="34" max="35" width="8.5546875" customWidth="1"/>
    <col min="37" max="37" width="8.5546875" customWidth="1"/>
    <col min="38" max="39" width="6.88671875" customWidth="1"/>
    <col min="40" max="40" width="0.88671875" customWidth="1"/>
    <col min="41" max="41" width="6.88671875" customWidth="1"/>
    <col min="42" max="43" width="8.5546875" customWidth="1"/>
    <col min="45" max="45" width="8.5546875" customWidth="1"/>
    <col min="46" max="47" width="6.88671875" customWidth="1"/>
    <col min="48" max="48" width="0.88671875" customWidth="1"/>
    <col min="49" max="49" width="6.88671875" customWidth="1"/>
    <col min="50" max="51" width="8.5546875" customWidth="1"/>
    <col min="53" max="53" width="8.5546875" customWidth="1"/>
    <col min="54" max="55" width="6.88671875" customWidth="1"/>
    <col min="56" max="56" width="0.88671875" customWidth="1"/>
    <col min="57" max="59" width="8.5546875" customWidth="1"/>
    <col min="61" max="63" width="8.5546875" customWidth="1"/>
    <col min="64" max="64" width="0.88671875" customWidth="1"/>
    <col min="65" max="65" width="6.88671875" customWidth="1"/>
    <col min="66" max="67" width="8.5546875" customWidth="1"/>
    <col min="69" max="69" width="8.5546875" customWidth="1"/>
    <col min="70" max="71" width="6.88671875" customWidth="1"/>
    <col min="73" max="73" width="17" bestFit="1" customWidth="1"/>
  </cols>
  <sheetData>
    <row r="1" spans="1:85" ht="36" x14ac:dyDescent="0.35">
      <c r="A1" s="202"/>
      <c r="B1" s="200" t="s">
        <v>93</v>
      </c>
      <c r="C1" s="200"/>
      <c r="D1" s="200"/>
      <c r="E1" s="200"/>
      <c r="F1" s="200"/>
      <c r="G1" s="201"/>
      <c r="H1" s="200"/>
      <c r="I1" s="200"/>
      <c r="J1" s="250"/>
      <c r="K1" s="200" t="s">
        <v>92</v>
      </c>
      <c r="L1" s="199"/>
      <c r="M1" s="199"/>
      <c r="N1" s="199"/>
      <c r="O1" s="199"/>
      <c r="P1" s="198"/>
      <c r="Q1" s="197"/>
      <c r="R1" s="197"/>
      <c r="S1" s="263"/>
      <c r="T1" s="200" t="s">
        <v>91</v>
      </c>
      <c r="U1" s="199"/>
      <c r="V1" s="199"/>
      <c r="W1" s="199"/>
      <c r="X1" s="199"/>
      <c r="Y1" s="198"/>
      <c r="Z1" s="197"/>
      <c r="AA1" s="197"/>
      <c r="AB1" s="196"/>
      <c r="AC1" s="195" t="s">
        <v>90</v>
      </c>
      <c r="AD1" s="10"/>
      <c r="AE1" s="194"/>
      <c r="AF1" s="193"/>
      <c r="AG1" s="269" t="s">
        <v>89</v>
      </c>
      <c r="AH1" s="266"/>
      <c r="AI1" s="266"/>
      <c r="AJ1" s="266"/>
      <c r="AK1" s="266"/>
      <c r="AL1" s="266"/>
      <c r="AM1" s="266"/>
      <c r="AN1" s="192"/>
      <c r="AO1" s="269" t="s">
        <v>54</v>
      </c>
      <c r="AP1" s="266"/>
      <c r="AQ1" s="266"/>
      <c r="AR1" s="266"/>
      <c r="AS1" s="266"/>
      <c r="AT1" s="266"/>
      <c r="AU1" s="266"/>
      <c r="AV1" s="191"/>
      <c r="AW1" s="193" t="s">
        <v>88</v>
      </c>
      <c r="AX1" s="266"/>
      <c r="AY1" s="266"/>
      <c r="AZ1" s="266"/>
      <c r="BA1" s="266"/>
      <c r="BB1" s="266"/>
      <c r="BC1" s="266"/>
      <c r="BD1" s="191"/>
      <c r="BE1" s="269" t="s">
        <v>87</v>
      </c>
      <c r="BF1" s="266"/>
      <c r="BG1" s="266"/>
      <c r="BH1" s="266"/>
      <c r="BI1" s="266"/>
      <c r="BJ1" s="266"/>
      <c r="BK1" s="266"/>
      <c r="BL1" s="191"/>
      <c r="BM1" s="193" t="s">
        <v>86</v>
      </c>
      <c r="BN1" s="266"/>
      <c r="BO1" s="266"/>
      <c r="BP1" s="266"/>
      <c r="BQ1" s="266"/>
      <c r="BR1" s="270"/>
      <c r="BS1" s="114"/>
      <c r="BT1" s="10"/>
      <c r="BU1" s="46" t="s">
        <v>85</v>
      </c>
      <c r="BV1" s="46"/>
      <c r="BW1" s="46"/>
      <c r="BX1" s="46"/>
      <c r="BY1" s="46"/>
      <c r="BZ1" s="46"/>
      <c r="CA1" s="46"/>
      <c r="CB1" s="183">
        <v>1</v>
      </c>
      <c r="CC1" s="182">
        <v>2</v>
      </c>
      <c r="CD1" s="182">
        <v>3</v>
      </c>
      <c r="CE1" s="182">
        <v>4</v>
      </c>
      <c r="CF1" s="182">
        <v>5</v>
      </c>
      <c r="CG1" s="181">
        <v>6</v>
      </c>
    </row>
    <row r="2" spans="1:85" ht="14.4" x14ac:dyDescent="0.3">
      <c r="A2" s="53" t="s">
        <v>84</v>
      </c>
      <c r="B2" s="190" t="s">
        <v>6</v>
      </c>
      <c r="C2" s="190" t="s">
        <v>9</v>
      </c>
      <c r="D2" s="190" t="s">
        <v>46</v>
      </c>
      <c r="E2" s="190" t="s">
        <v>97</v>
      </c>
      <c r="F2" s="190" t="s">
        <v>10</v>
      </c>
      <c r="G2" s="189" t="s">
        <v>11</v>
      </c>
      <c r="H2" s="190" t="s">
        <v>98</v>
      </c>
      <c r="I2" s="244" t="s">
        <v>12</v>
      </c>
      <c r="J2" s="251"/>
      <c r="K2" s="190" t="s">
        <v>6</v>
      </c>
      <c r="L2" s="190" t="s">
        <v>9</v>
      </c>
      <c r="M2" s="190" t="s">
        <v>46</v>
      </c>
      <c r="N2" s="190" t="s">
        <v>97</v>
      </c>
      <c r="O2" s="190" t="s">
        <v>10</v>
      </c>
      <c r="P2" s="189" t="s">
        <v>11</v>
      </c>
      <c r="Q2" s="188" t="s">
        <v>98</v>
      </c>
      <c r="R2" s="51" t="s">
        <v>12</v>
      </c>
      <c r="S2" s="264"/>
      <c r="T2" s="190" t="s">
        <v>6</v>
      </c>
      <c r="U2" s="190" t="s">
        <v>9</v>
      </c>
      <c r="V2" s="190" t="s">
        <v>46</v>
      </c>
      <c r="W2" s="190" t="s">
        <v>97</v>
      </c>
      <c r="X2" s="190" t="s">
        <v>10</v>
      </c>
      <c r="Y2" s="189" t="s">
        <v>11</v>
      </c>
      <c r="Z2" s="188" t="s">
        <v>98</v>
      </c>
      <c r="AA2" s="52" t="s">
        <v>12</v>
      </c>
      <c r="AB2" s="12"/>
      <c r="AC2" s="187" t="s">
        <v>7</v>
      </c>
      <c r="AD2" s="186"/>
      <c r="AE2" s="185"/>
      <c r="AF2" s="184" t="s">
        <v>47</v>
      </c>
      <c r="AG2" s="268" t="s">
        <v>6</v>
      </c>
      <c r="AH2" s="21" t="s">
        <v>9</v>
      </c>
      <c r="AI2" s="21" t="s">
        <v>46</v>
      </c>
      <c r="AJ2" s="51" t="s">
        <v>97</v>
      </c>
      <c r="AK2" s="21" t="s">
        <v>10</v>
      </c>
      <c r="AL2" s="21" t="s">
        <v>11</v>
      </c>
      <c r="AM2" s="59" t="s">
        <v>98</v>
      </c>
      <c r="AN2" s="5"/>
      <c r="AO2" s="268" t="s">
        <v>6</v>
      </c>
      <c r="AP2" s="21" t="s">
        <v>9</v>
      </c>
      <c r="AQ2" s="21" t="s">
        <v>46</v>
      </c>
      <c r="AR2" s="51" t="s">
        <v>97</v>
      </c>
      <c r="AS2" s="21" t="s">
        <v>10</v>
      </c>
      <c r="AT2" s="21" t="s">
        <v>11</v>
      </c>
      <c r="AU2" s="59" t="s">
        <v>98</v>
      </c>
      <c r="AV2" s="1"/>
      <c r="AW2" s="268" t="s">
        <v>6</v>
      </c>
      <c r="AX2" s="21" t="s">
        <v>9</v>
      </c>
      <c r="AY2" s="21" t="s">
        <v>46</v>
      </c>
      <c r="AZ2" s="51" t="s">
        <v>97</v>
      </c>
      <c r="BA2" s="21" t="s">
        <v>10</v>
      </c>
      <c r="BB2" s="21" t="s">
        <v>11</v>
      </c>
      <c r="BC2" s="59" t="s">
        <v>98</v>
      </c>
      <c r="BD2" s="1"/>
      <c r="BE2" s="268" t="s">
        <v>6</v>
      </c>
      <c r="BF2" s="21" t="s">
        <v>9</v>
      </c>
      <c r="BG2" s="21" t="s">
        <v>46</v>
      </c>
      <c r="BH2" s="51" t="s">
        <v>97</v>
      </c>
      <c r="BI2" s="21" t="s">
        <v>10</v>
      </c>
      <c r="BJ2" s="21" t="s">
        <v>11</v>
      </c>
      <c r="BK2" s="59" t="s">
        <v>98</v>
      </c>
      <c r="BL2" s="1"/>
      <c r="BM2" s="268" t="s">
        <v>6</v>
      </c>
      <c r="BN2" s="21" t="s">
        <v>9</v>
      </c>
      <c r="BO2" s="21" t="s">
        <v>46</v>
      </c>
      <c r="BP2" s="51" t="s">
        <v>97</v>
      </c>
      <c r="BQ2" s="21" t="s">
        <v>10</v>
      </c>
      <c r="BR2" s="21" t="s">
        <v>11</v>
      </c>
      <c r="BS2" s="59" t="s">
        <v>98</v>
      </c>
      <c r="BT2" s="10"/>
      <c r="BU2" s="46" t="s">
        <v>47</v>
      </c>
      <c r="BV2" s="182">
        <v>2008</v>
      </c>
      <c r="BW2" s="182">
        <v>2009</v>
      </c>
      <c r="BX2" s="182">
        <v>2010</v>
      </c>
      <c r="BY2" s="182">
        <v>2011</v>
      </c>
      <c r="BZ2" s="182">
        <v>2012</v>
      </c>
      <c r="CA2" s="182">
        <v>2013</v>
      </c>
      <c r="CB2" s="183">
        <v>2014</v>
      </c>
      <c r="CC2" s="182">
        <v>2015</v>
      </c>
      <c r="CD2" s="182">
        <v>2016</v>
      </c>
      <c r="CE2" s="182">
        <v>2017</v>
      </c>
      <c r="CF2" s="182">
        <v>2018</v>
      </c>
      <c r="CG2" s="181">
        <v>2019</v>
      </c>
    </row>
    <row r="3" spans="1:85" x14ac:dyDescent="0.25">
      <c r="A3" s="139" t="s">
        <v>61</v>
      </c>
      <c r="B3" s="301" t="e">
        <f>National_County!B3</f>
        <v>#REF!</v>
      </c>
      <c r="C3" s="301" t="e">
        <f>National_County!C3</f>
        <v>#REF!</v>
      </c>
      <c r="D3" s="301" t="e">
        <f>National_County!D3</f>
        <v>#REF!</v>
      </c>
      <c r="E3" s="301" t="e">
        <f>National_County!E3</f>
        <v>#REF!</v>
      </c>
      <c r="F3" s="301" t="e">
        <f>National_County!F3</f>
        <v>#REF!</v>
      </c>
      <c r="G3" s="301" t="e">
        <f>National_County!G3</f>
        <v>#REF!</v>
      </c>
      <c r="H3" s="301">
        <f>National_County!H3</f>
        <v>435</v>
      </c>
      <c r="I3" s="80"/>
      <c r="J3" s="252"/>
      <c r="K3" s="299" t="e">
        <f t="shared" ref="K3:Q3" si="0">B3</f>
        <v>#REF!</v>
      </c>
      <c r="L3" s="300" t="e">
        <f t="shared" si="0"/>
        <v>#REF!</v>
      </c>
      <c r="M3" s="300" t="e">
        <f t="shared" si="0"/>
        <v>#REF!</v>
      </c>
      <c r="N3" s="300" t="e">
        <f t="shared" si="0"/>
        <v>#REF!</v>
      </c>
      <c r="O3" s="300" t="e">
        <f t="shared" si="0"/>
        <v>#REF!</v>
      </c>
      <c r="P3" s="300" t="e">
        <f t="shared" si="0"/>
        <v>#REF!</v>
      </c>
      <c r="Q3" s="300">
        <f t="shared" si="0"/>
        <v>435</v>
      </c>
      <c r="R3" s="80"/>
      <c r="S3" s="264"/>
      <c r="T3" s="299" t="e">
        <f t="shared" ref="T3:Z3" si="1">B3</f>
        <v>#REF!</v>
      </c>
      <c r="U3" s="300" t="e">
        <f t="shared" si="1"/>
        <v>#REF!</v>
      </c>
      <c r="V3" s="300" t="e">
        <f t="shared" si="1"/>
        <v>#REF!</v>
      </c>
      <c r="W3" s="300" t="e">
        <f t="shared" si="1"/>
        <v>#REF!</v>
      </c>
      <c r="X3" s="300" t="e">
        <f t="shared" si="1"/>
        <v>#REF!</v>
      </c>
      <c r="Y3" s="300" t="e">
        <f t="shared" si="1"/>
        <v>#REF!</v>
      </c>
      <c r="Z3" s="300">
        <f t="shared" si="1"/>
        <v>435</v>
      </c>
      <c r="AA3" s="80"/>
      <c r="AB3" s="13"/>
      <c r="AC3" s="83">
        <v>0.67300000000000004</v>
      </c>
      <c r="AD3" s="10"/>
      <c r="AE3" s="143"/>
      <c r="AF3" s="141">
        <v>2013</v>
      </c>
      <c r="AG3" s="142">
        <v>185.29612756264237</v>
      </c>
      <c r="AH3" s="140">
        <v>46.170037453183518</v>
      </c>
      <c r="AI3" s="140">
        <v>167.12041884816753</v>
      </c>
      <c r="AJ3" s="140">
        <v>167.12041884816753</v>
      </c>
      <c r="AK3" s="140">
        <v>98.837209302325576</v>
      </c>
      <c r="AL3" s="140">
        <v>56.073529411764703</v>
      </c>
      <c r="AM3" s="282">
        <v>2.5</v>
      </c>
      <c r="AN3" s="5"/>
      <c r="AO3" s="142">
        <v>185.29612756264237</v>
      </c>
      <c r="AP3" s="140">
        <v>46.170037453183518</v>
      </c>
      <c r="AQ3" s="140">
        <v>167.12041884816753</v>
      </c>
      <c r="AR3" s="140">
        <v>167.12041884816753</v>
      </c>
      <c r="AS3" s="140">
        <v>98.837209302325576</v>
      </c>
      <c r="AT3" s="140">
        <v>56.073529411764703</v>
      </c>
      <c r="AU3" s="282">
        <v>2.5</v>
      </c>
      <c r="AV3" s="133">
        <f>GP_Owned_CashRent!S13</f>
        <v>0</v>
      </c>
      <c r="AW3" s="176">
        <f>MAX(AW21,GP_Owned_CashRent!K$15)</f>
        <v>4.5</v>
      </c>
      <c r="AX3" s="176">
        <f>MAX(AX21,GP_Owned_CashRent!L$15)</f>
        <v>12.7</v>
      </c>
      <c r="AY3" s="176">
        <f>MAX(AY21,GP_Owned_CashRent!M$15)</f>
        <v>6.5880000000000001</v>
      </c>
      <c r="AZ3" s="176">
        <f>MAX(AZ21,GP_Owned_CashRent!N$15)</f>
        <v>7.59</v>
      </c>
      <c r="BA3" s="176">
        <f>MAX(BA21,GP_Owned_CashRent!O$15)</f>
        <v>4.2560000000000002</v>
      </c>
      <c r="BB3" s="176">
        <f>MAX(BB21,GP_Owned_CashRent!P$15)</f>
        <v>6.8</v>
      </c>
      <c r="BC3" s="176">
        <v>350</v>
      </c>
      <c r="BD3" s="133">
        <f>GP_Owned_CashRent!AB13</f>
        <v>0</v>
      </c>
      <c r="BE3" s="172">
        <f>AG3*MAX(AW3,GP_Owned_CashRent!T$15)</f>
        <v>833.83257403189066</v>
      </c>
      <c r="BF3" s="8">
        <f>AH3*MAX(AX3,GP_Owned_CashRent!U$15)</f>
        <v>586.35947565543063</v>
      </c>
      <c r="BG3" s="8">
        <f>AI3*MAX(AY3,GP_Owned_CashRent!V$15)</f>
        <v>1100.9893193717278</v>
      </c>
      <c r="BH3" s="8">
        <f>AJ3*MAX(AZ3,GP_Owned_CashRent!W$15)</f>
        <v>1268.4439790575916</v>
      </c>
      <c r="BI3" s="8">
        <f>AK3*MAX(BA3,GP_Owned_CashRent!X$15)</f>
        <v>420.6511627906977</v>
      </c>
      <c r="BJ3" s="8">
        <f>AL3*MAX(BB3,GP_Owned_CashRent!Y$15)</f>
        <v>381.29999999999995</v>
      </c>
      <c r="BK3" s="8">
        <f>AM3*MAX(BC3,GP_Owned_CashRent!Z$15)</f>
        <v>875</v>
      </c>
      <c r="BL3" s="133" t="e">
        <v>#REF!</v>
      </c>
      <c r="BM3" s="3">
        <v>5.2</v>
      </c>
      <c r="BN3" s="3">
        <v>13.1</v>
      </c>
      <c r="BO3" s="3">
        <v>6.5880000000000001</v>
      </c>
      <c r="BP3" s="3">
        <v>7.59</v>
      </c>
      <c r="BQ3" s="3">
        <v>4.9559999999999995</v>
      </c>
      <c r="BR3" s="3">
        <v>6.95</v>
      </c>
      <c r="BS3" s="3">
        <v>435</v>
      </c>
      <c r="BT3" s="10"/>
      <c r="BU3" s="99" t="s">
        <v>61</v>
      </c>
      <c r="BV3" s="99"/>
      <c r="BW3" s="99"/>
      <c r="BX3" s="99"/>
      <c r="BY3" s="99"/>
      <c r="BZ3" s="99"/>
      <c r="CA3" s="99"/>
      <c r="CB3" s="180"/>
      <c r="CC3" s="99"/>
      <c r="CD3" s="99"/>
      <c r="CE3" s="99"/>
      <c r="CF3" s="99"/>
      <c r="CG3" s="99"/>
    </row>
    <row r="4" spans="1:85" x14ac:dyDescent="0.25">
      <c r="A4" s="139" t="s">
        <v>83</v>
      </c>
      <c r="B4" s="261"/>
      <c r="C4" s="177"/>
      <c r="D4" s="177"/>
      <c r="E4" s="177"/>
      <c r="F4" s="177"/>
      <c r="G4" s="177"/>
      <c r="H4" s="289"/>
      <c r="I4" s="12"/>
      <c r="J4" s="253"/>
      <c r="K4" s="261"/>
      <c r="L4" s="177"/>
      <c r="M4" s="177"/>
      <c r="N4" s="177"/>
      <c r="O4" s="177"/>
      <c r="P4" s="177"/>
      <c r="Q4" s="289"/>
      <c r="R4" s="12"/>
      <c r="S4" s="254"/>
      <c r="T4" s="261">
        <v>180</v>
      </c>
      <c r="U4" s="177">
        <v>50</v>
      </c>
      <c r="V4" s="177">
        <v>170</v>
      </c>
      <c r="W4" s="177">
        <v>170</v>
      </c>
      <c r="X4" s="177">
        <v>90</v>
      </c>
      <c r="Y4" s="177">
        <v>60</v>
      </c>
      <c r="Z4" s="281">
        <v>2.5</v>
      </c>
      <c r="AA4" s="12"/>
      <c r="AB4" s="13"/>
      <c r="AC4" s="151">
        <v>1200</v>
      </c>
      <c r="AD4" s="10"/>
      <c r="AE4" s="143"/>
      <c r="AF4" s="141">
        <v>2012</v>
      </c>
      <c r="AG4" s="142">
        <v>174.97878359264499</v>
      </c>
      <c r="AH4" s="140">
        <v>47.660079051383399</v>
      </c>
      <c r="AI4" s="140">
        <v>165.73617021276596</v>
      </c>
      <c r="AJ4" s="140">
        <v>165.73617021276596</v>
      </c>
      <c r="AK4" s="140">
        <v>81.582733812949641</v>
      </c>
      <c r="AL4" s="140">
        <v>45</v>
      </c>
      <c r="AM4" s="282">
        <v>2.5</v>
      </c>
      <c r="AN4" s="5"/>
      <c r="AO4" s="142">
        <v>174.97878359264499</v>
      </c>
      <c r="AP4" s="140">
        <v>47.660079051383399</v>
      </c>
      <c r="AQ4" s="140">
        <v>165.73617021276596</v>
      </c>
      <c r="AR4" s="140">
        <v>165.73617021276596</v>
      </c>
      <c r="AS4" s="140">
        <v>81.582733812949641</v>
      </c>
      <c r="AT4" s="140">
        <v>45</v>
      </c>
      <c r="AU4" s="282">
        <v>2.5</v>
      </c>
      <c r="AV4" s="1">
        <f>GP_Owned_CashRent!S15</f>
        <v>0</v>
      </c>
      <c r="AW4" s="176">
        <f>MAX(AW22,GP_Owned_CashRent!K$15)</f>
        <v>6.89</v>
      </c>
      <c r="AX4" s="176">
        <f>MAX(AX22,GP_Owned_CashRent!L$15)</f>
        <v>14.4</v>
      </c>
      <c r="AY4" s="176">
        <f>MAX(AY22,GP_Owned_CashRent!M$15)</f>
        <v>6.5249999999999995</v>
      </c>
      <c r="AZ4" s="176">
        <f>MAX(AZ22,GP_Owned_CashRent!N$15)</f>
        <v>7.53</v>
      </c>
      <c r="BA4" s="176">
        <f>MAX(BA22,GP_Owned_CashRent!O$15)</f>
        <v>6.3280000000000003</v>
      </c>
      <c r="BB4" s="176">
        <f>MAX(BB22,GP_Owned_CashRent!P$15)</f>
        <v>7.77</v>
      </c>
      <c r="BC4" s="176">
        <v>350</v>
      </c>
      <c r="BD4" s="1">
        <f>GP_Owned_CashRent!AB15</f>
        <v>0</v>
      </c>
      <c r="BE4" s="172">
        <f>AG4*MAX(AW4,GP_Owned_CashRent!T$15)</f>
        <v>1205.603818953324</v>
      </c>
      <c r="BF4" s="8">
        <f>AH4*MAX(AX4,GP_Owned_CashRent!U$15)</f>
        <v>686.30513833992097</v>
      </c>
      <c r="BG4" s="8">
        <f>AI4*MAX(AY4,GP_Owned_CashRent!V$15)</f>
        <v>1081.4285106382977</v>
      </c>
      <c r="BH4" s="8">
        <f>AJ4*MAX(AZ4,GP_Owned_CashRent!W$15)</f>
        <v>1247.9933617021277</v>
      </c>
      <c r="BI4" s="8">
        <f>AK4*MAX(BA4,GP_Owned_CashRent!X$15)</f>
        <v>516.2555395683454</v>
      </c>
      <c r="BJ4" s="8">
        <f>AL4*MAX(BB4,GP_Owned_CashRent!Y$15)</f>
        <v>349.65</v>
      </c>
      <c r="BK4" s="8">
        <f>AM4*MAX(BC4,GP_Owned_CashRent!Z$15)</f>
        <v>875</v>
      </c>
      <c r="BL4" s="1" t="e">
        <v>#REF!</v>
      </c>
      <c r="BM4" s="3">
        <v>6.81</v>
      </c>
      <c r="BN4" s="3">
        <v>14.3</v>
      </c>
      <c r="BO4" s="3">
        <v>6.5249999999999995</v>
      </c>
      <c r="BP4" s="3">
        <v>7.53</v>
      </c>
      <c r="BQ4" s="3">
        <v>6.2160000000000002</v>
      </c>
      <c r="BR4" s="3">
        <v>6.84</v>
      </c>
      <c r="BS4" s="3">
        <v>435</v>
      </c>
      <c r="BT4" s="10"/>
      <c r="BU4" t="s">
        <v>6</v>
      </c>
      <c r="BV4" s="11">
        <v>4.0599999999999996</v>
      </c>
      <c r="BW4" s="11">
        <v>3.7</v>
      </c>
      <c r="BX4" s="11">
        <v>5.18</v>
      </c>
      <c r="BY4" s="11">
        <v>6.22</v>
      </c>
      <c r="BZ4" s="11">
        <v>6.89</v>
      </c>
      <c r="CA4" s="11">
        <v>4.5</v>
      </c>
      <c r="CB4" s="111" t="e">
        <f>GP_Owned_CashRent!$B$3</f>
        <v>#REF!</v>
      </c>
      <c r="CC4" s="11" t="e">
        <f t="shared" ref="CC4:CG8" si="2">CB4*CC$33</f>
        <v>#REF!</v>
      </c>
      <c r="CD4" s="11" t="e">
        <f t="shared" si="2"/>
        <v>#REF!</v>
      </c>
      <c r="CE4" s="11" t="e">
        <f t="shared" si="2"/>
        <v>#REF!</v>
      </c>
      <c r="CF4" s="11" t="e">
        <f t="shared" si="2"/>
        <v>#REF!</v>
      </c>
      <c r="CG4" s="171" t="e">
        <f t="shared" si="2"/>
        <v>#REF!</v>
      </c>
    </row>
    <row r="5" spans="1:85" x14ac:dyDescent="0.25">
      <c r="A5" s="139" t="s">
        <v>82</v>
      </c>
      <c r="B5" s="72"/>
      <c r="C5" s="71"/>
      <c r="D5" s="71"/>
      <c r="E5" s="71"/>
      <c r="F5" s="71"/>
      <c r="G5" s="71"/>
      <c r="H5" s="12"/>
      <c r="I5" s="175"/>
      <c r="J5" s="253"/>
      <c r="K5" s="296" t="e">
        <f>National_County!B5</f>
        <v>#REF!</v>
      </c>
      <c r="L5" s="297" t="e">
        <f>National_County!C5</f>
        <v>#REF!</v>
      </c>
      <c r="M5" s="297" t="e">
        <f>National_County!D5</f>
        <v>#REF!</v>
      </c>
      <c r="N5" s="297" t="e">
        <f>National_County!E5</f>
        <v>#REF!</v>
      </c>
      <c r="O5" s="297" t="e">
        <f>National_County!F5</f>
        <v>#REF!</v>
      </c>
      <c r="P5" s="297" t="e">
        <f>National_County!G5</f>
        <v>#REF!</v>
      </c>
      <c r="Q5" s="298">
        <f>National_County!H5</f>
        <v>2.5</v>
      </c>
      <c r="R5" s="175"/>
      <c r="S5" s="254"/>
      <c r="T5" s="247" t="s">
        <v>40</v>
      </c>
      <c r="U5" s="65" t="s">
        <v>40</v>
      </c>
      <c r="V5" s="66" t="s">
        <v>40</v>
      </c>
      <c r="W5" s="66"/>
      <c r="X5" s="66" t="s">
        <v>40</v>
      </c>
      <c r="Y5" s="65" t="s">
        <v>40</v>
      </c>
      <c r="Z5" s="174"/>
      <c r="AA5" s="174"/>
      <c r="AB5" s="12"/>
      <c r="AC5" s="62"/>
      <c r="AD5" s="10"/>
      <c r="AE5" s="143"/>
      <c r="AF5" s="141">
        <v>2011</v>
      </c>
      <c r="AG5" s="142">
        <v>132.80575539568346</v>
      </c>
      <c r="AH5" s="140">
        <v>42.017510468214695</v>
      </c>
      <c r="AI5" s="140">
        <v>145.42789598108749</v>
      </c>
      <c r="AJ5" s="140">
        <v>145.42789598108749</v>
      </c>
      <c r="AK5" s="140">
        <v>65.454545454545453</v>
      </c>
      <c r="AL5" s="140">
        <v>48.645161290322584</v>
      </c>
      <c r="AM5" s="282">
        <v>2.5</v>
      </c>
      <c r="AN5" s="5"/>
      <c r="AO5" s="142">
        <v>132.80575539568346</v>
      </c>
      <c r="AP5" s="140">
        <v>42.017510468214695</v>
      </c>
      <c r="AQ5" s="140">
        <v>145.42789598108749</v>
      </c>
      <c r="AR5" s="140">
        <v>145.42789598108749</v>
      </c>
      <c r="AS5" s="140">
        <v>65.454545454545453</v>
      </c>
      <c r="AT5" s="140">
        <v>48.645161290322584</v>
      </c>
      <c r="AU5" s="282">
        <v>2.5</v>
      </c>
      <c r="AV5" s="1">
        <f>GP_Owned_CashRent!S16</f>
        <v>0</v>
      </c>
      <c r="AW5" s="176">
        <f>MAX(AW23,GP_Owned_CashRent!K$15)</f>
        <v>6.22</v>
      </c>
      <c r="AX5" s="176">
        <f>MAX(AX23,GP_Owned_CashRent!L$15)</f>
        <v>12.5</v>
      </c>
      <c r="AY5" s="176">
        <f>MAX(AY23,GP_Owned_CashRent!M$15)</f>
        <v>6.3000000000000007</v>
      </c>
      <c r="AZ5" s="176">
        <f>MAX(AZ23,GP_Owned_CashRent!N$15)</f>
        <v>7.03</v>
      </c>
      <c r="BA5" s="176">
        <f>MAX(BA23,GP_Owned_CashRent!O$15)</f>
        <v>5.992</v>
      </c>
      <c r="BB5" s="176">
        <f>MAX(BB23,GP_Owned_CashRent!P$15)</f>
        <v>7.24</v>
      </c>
      <c r="BC5" s="176">
        <v>350</v>
      </c>
      <c r="BD5" s="1">
        <f>GP_Owned_CashRent!AB16</f>
        <v>0</v>
      </c>
      <c r="BE5" s="172">
        <f>AG5*MAX(AW5,GP_Owned_CashRent!T$15)</f>
        <v>826.05179856115114</v>
      </c>
      <c r="BF5" s="8">
        <f>AH5*MAX(AX5,GP_Owned_CashRent!U$15)</f>
        <v>525.2188808526837</v>
      </c>
      <c r="BG5" s="8">
        <f>AI5*MAX(AY5,GP_Owned_CashRent!V$15)</f>
        <v>916.19574468085125</v>
      </c>
      <c r="BH5" s="8">
        <f>AJ5*MAX(AZ5,GP_Owned_CashRent!W$15)</f>
        <v>1022.3581087470451</v>
      </c>
      <c r="BI5" s="8">
        <f>AK5*MAX(BA5,GP_Owned_CashRent!X$15)</f>
        <v>392.20363636363635</v>
      </c>
      <c r="BJ5" s="8">
        <f>AL5*MAX(BB5,GP_Owned_CashRent!Y$15)</f>
        <v>352.19096774193554</v>
      </c>
      <c r="BK5" s="8">
        <f>AM5*MAX(BC5,GP_Owned_CashRent!Z$15)</f>
        <v>875</v>
      </c>
      <c r="BL5" s="1" t="e">
        <v>#REF!</v>
      </c>
      <c r="BM5" s="3">
        <v>6.27</v>
      </c>
      <c r="BN5" s="3">
        <v>12.3</v>
      </c>
      <c r="BO5" s="3">
        <v>6.03</v>
      </c>
      <c r="BP5" s="3">
        <v>7.03</v>
      </c>
      <c r="BQ5" s="3">
        <v>5.7119999999999997</v>
      </c>
      <c r="BR5" s="3">
        <v>7.19</v>
      </c>
      <c r="BS5" s="3">
        <v>435</v>
      </c>
      <c r="BT5" s="10"/>
      <c r="BU5" t="s">
        <v>9</v>
      </c>
      <c r="BV5" s="11">
        <v>9.9700000000000006</v>
      </c>
      <c r="BW5" s="11">
        <v>9.59</v>
      </c>
      <c r="BX5" s="11">
        <v>11.3</v>
      </c>
      <c r="BY5" s="11">
        <v>12.5</v>
      </c>
      <c r="BZ5" s="11">
        <v>14.4</v>
      </c>
      <c r="CA5" s="11">
        <v>12.7</v>
      </c>
      <c r="CB5" s="111" t="e">
        <f>GP_Owned_CashRent!$C$3</f>
        <v>#REF!</v>
      </c>
      <c r="CC5" s="11" t="e">
        <f t="shared" si="2"/>
        <v>#REF!</v>
      </c>
      <c r="CD5" s="11" t="e">
        <f t="shared" si="2"/>
        <v>#REF!</v>
      </c>
      <c r="CE5" s="11" t="e">
        <f t="shared" si="2"/>
        <v>#REF!</v>
      </c>
      <c r="CF5" s="11" t="e">
        <f t="shared" si="2"/>
        <v>#REF!</v>
      </c>
      <c r="CG5" s="171" t="e">
        <f t="shared" si="2"/>
        <v>#REF!</v>
      </c>
    </row>
    <row r="6" spans="1:85" x14ac:dyDescent="0.25">
      <c r="A6" s="139" t="s">
        <v>81</v>
      </c>
      <c r="B6" s="72"/>
      <c r="C6" s="71"/>
      <c r="D6" s="71"/>
      <c r="E6" s="71"/>
      <c r="F6" s="71"/>
      <c r="G6" s="71"/>
      <c r="H6" s="50"/>
      <c r="I6" s="50"/>
      <c r="J6" s="253"/>
      <c r="K6" s="161">
        <f>GP_Owned_CashRent!AO10</f>
        <v>154.91830190408828</v>
      </c>
      <c r="L6" s="160">
        <f>GP_Owned_CashRent!AP10</f>
        <v>42.499199676241183</v>
      </c>
      <c r="M6" s="160">
        <f>GP_Owned_CashRent!AQ10</f>
        <v>153.199309542572</v>
      </c>
      <c r="N6" s="160">
        <f>GP_Owned_CashRent!AR10</f>
        <v>153.199309542572</v>
      </c>
      <c r="O6" s="160">
        <f>GP_Owned_CashRent!AS10</f>
        <v>75.211338621410562</v>
      </c>
      <c r="P6" s="160">
        <f>GP_Owned_CashRent!AT10</f>
        <v>44.715053763440864</v>
      </c>
      <c r="Q6" s="285">
        <f>GP_Owned_CashRent!AU10</f>
        <v>2.5</v>
      </c>
      <c r="R6" s="175"/>
      <c r="S6" s="254"/>
      <c r="T6" s="158" t="s">
        <v>40</v>
      </c>
      <c r="U6" s="158" t="s">
        <v>40</v>
      </c>
      <c r="V6" s="158" t="s">
        <v>40</v>
      </c>
      <c r="W6" s="158"/>
      <c r="X6" s="158" t="s">
        <v>40</v>
      </c>
      <c r="Y6" s="158" t="s">
        <v>40</v>
      </c>
      <c r="Z6" s="158"/>
      <c r="AA6" s="158"/>
      <c r="AB6" s="12"/>
      <c r="AC6" s="62"/>
      <c r="AD6" s="10"/>
      <c r="AE6" s="143"/>
      <c r="AF6" s="141">
        <v>2010</v>
      </c>
      <c r="AG6" s="142">
        <v>147.66839378238342</v>
      </c>
      <c r="AH6" s="140">
        <v>39.310051107325386</v>
      </c>
      <c r="AI6" s="140">
        <v>143.10553814002088</v>
      </c>
      <c r="AJ6" s="140">
        <v>143.10553814002088</v>
      </c>
      <c r="AK6" s="140">
        <v>69.102564102564102</v>
      </c>
      <c r="AL6" s="140">
        <v>40.5</v>
      </c>
      <c r="AM6" s="282">
        <v>2.5</v>
      </c>
      <c r="AN6" s="5"/>
      <c r="AO6" s="142">
        <v>147.66839378238342</v>
      </c>
      <c r="AP6" s="140">
        <v>39.310051107325386</v>
      </c>
      <c r="AQ6" s="140">
        <v>143.10553814002088</v>
      </c>
      <c r="AR6" s="140">
        <v>143.10553814002088</v>
      </c>
      <c r="AS6" s="140">
        <v>69.102564102564102</v>
      </c>
      <c r="AT6" s="140">
        <v>40.5</v>
      </c>
      <c r="AU6" s="282">
        <v>2.5</v>
      </c>
      <c r="AV6" s="1">
        <f>GP_Owned_CashRent!S17</f>
        <v>0</v>
      </c>
      <c r="AW6" s="173">
        <f>MAX(AW24,GP_Owned_CashRent!K$15)</f>
        <v>5.18</v>
      </c>
      <c r="AX6" s="173">
        <f>MAX(AX24,GP_Owned_CashRent!L$15)</f>
        <v>11.3</v>
      </c>
      <c r="AY6" s="173">
        <f>MAX(AY24,GP_Owned_CashRent!M$15)</f>
        <v>6.3000000000000007</v>
      </c>
      <c r="AZ6" s="173">
        <f>MAX(AZ24,GP_Owned_CashRent!N$15)</f>
        <v>6.3000000000000007</v>
      </c>
      <c r="BA6" s="173">
        <f>MAX(BA24,GP_Owned_CashRent!O$15)</f>
        <v>5.0176000000000007</v>
      </c>
      <c r="BB6" s="173">
        <f>MAX(BB24,GP_Owned_CashRent!P$15)</f>
        <v>5.7</v>
      </c>
      <c r="BC6" s="173">
        <v>350</v>
      </c>
      <c r="BD6" s="1">
        <f>GP_Owned_CashRent!AB17</f>
        <v>0</v>
      </c>
      <c r="BE6" s="172">
        <f>AG6*MAX(AW6,GP_Owned_CashRent!T$15)</f>
        <v>764.92227979274605</v>
      </c>
      <c r="BF6" s="8">
        <f>AH6*MAX(AX6,GP_Owned_CashRent!U$15)</f>
        <v>444.20357751277686</v>
      </c>
      <c r="BG6" s="8">
        <f>AI6*MAX(AY6,GP_Owned_CashRent!V$15)</f>
        <v>901.56489028213161</v>
      </c>
      <c r="BH6" s="8">
        <f>AJ6*MAX(AZ6,GP_Owned_CashRent!W$15)</f>
        <v>901.56489028213161</v>
      </c>
      <c r="BI6" s="8">
        <f>AK6*MAX(BA6,GP_Owned_CashRent!X$15)</f>
        <v>346.72902564102571</v>
      </c>
      <c r="BJ6" s="8">
        <f>AL6*MAX(BB6,GP_Owned_CashRent!Y$15)</f>
        <v>230.85</v>
      </c>
      <c r="BK6" s="8">
        <f>AM6*MAX(BC6,GP_Owned_CashRent!Z$15)</f>
        <v>875</v>
      </c>
      <c r="BL6" s="1" t="e">
        <v>#REF!</v>
      </c>
      <c r="BM6" s="41">
        <v>4.55</v>
      </c>
      <c r="BN6" s="41">
        <v>10.9</v>
      </c>
      <c r="BO6" s="41">
        <v>4.95</v>
      </c>
      <c r="BP6" s="41">
        <v>5.95</v>
      </c>
      <c r="BQ6" s="41">
        <v>3.9983999999999993</v>
      </c>
      <c r="BR6" s="41">
        <v>5.26</v>
      </c>
      <c r="BS6" s="3">
        <v>435</v>
      </c>
      <c r="BT6" s="10"/>
      <c r="BU6" t="s">
        <v>8</v>
      </c>
      <c r="BV6" s="11">
        <v>6.71</v>
      </c>
      <c r="BW6" s="11">
        <v>6.3</v>
      </c>
      <c r="BX6" s="11">
        <v>6.3</v>
      </c>
      <c r="BY6" s="11">
        <v>6.3</v>
      </c>
      <c r="BZ6" s="11">
        <v>6.53</v>
      </c>
      <c r="CA6" s="11">
        <v>6.59</v>
      </c>
      <c r="CB6" s="111" t="e">
        <f>GP_Owned_CashRent!$D$3</f>
        <v>#REF!</v>
      </c>
      <c r="CC6" s="11" t="e">
        <f t="shared" si="2"/>
        <v>#REF!</v>
      </c>
      <c r="CD6" s="11" t="e">
        <f t="shared" si="2"/>
        <v>#REF!</v>
      </c>
      <c r="CE6" s="11" t="e">
        <f t="shared" si="2"/>
        <v>#REF!</v>
      </c>
      <c r="CF6" s="11" t="e">
        <f t="shared" si="2"/>
        <v>#REF!</v>
      </c>
      <c r="CG6" s="171" t="e">
        <f t="shared" si="2"/>
        <v>#REF!</v>
      </c>
    </row>
    <row r="7" spans="1:85" x14ac:dyDescent="0.25">
      <c r="A7" s="139" t="s">
        <v>80</v>
      </c>
      <c r="B7" s="72"/>
      <c r="C7" s="71"/>
      <c r="D7" s="71"/>
      <c r="E7" s="71"/>
      <c r="F7" s="71"/>
      <c r="G7" s="71"/>
      <c r="H7" s="50"/>
      <c r="I7" s="50"/>
      <c r="J7" s="253"/>
      <c r="K7" s="246">
        <f>GP_Owned_CashRent!AW10</f>
        <v>5.3</v>
      </c>
      <c r="L7" s="170">
        <f>GP_Owned_CashRent!AX10</f>
        <v>12.16666666666667</v>
      </c>
      <c r="M7" s="170">
        <f>GP_Owned_CashRent!AY10</f>
        <v>6.3750000000000009</v>
      </c>
      <c r="N7" s="170">
        <f>GP_Owned_CashRent!AZ10</f>
        <v>7.1233333333333348</v>
      </c>
      <c r="O7" s="170">
        <f>GP_Owned_CashRent!BA10</f>
        <v>5.0885333333333342</v>
      </c>
      <c r="P7" s="170">
        <f>GP_Owned_CashRent!BB10</f>
        <v>6.5800000000000018</v>
      </c>
      <c r="Q7" s="170">
        <f>GP_Owned_CashRent!BC10</f>
        <v>350</v>
      </c>
      <c r="R7" s="80"/>
      <c r="S7" s="254"/>
      <c r="T7" s="158" t="s">
        <v>40</v>
      </c>
      <c r="U7" s="158" t="s">
        <v>40</v>
      </c>
      <c r="V7" s="158" t="s">
        <v>40</v>
      </c>
      <c r="W7" s="158"/>
      <c r="X7" s="158" t="s">
        <v>40</v>
      </c>
      <c r="Y7" s="158" t="s">
        <v>40</v>
      </c>
      <c r="Z7" s="158"/>
      <c r="AA7" s="158"/>
      <c r="AB7" s="12"/>
      <c r="AC7" s="62"/>
      <c r="AD7" s="10"/>
      <c r="AE7" s="143"/>
      <c r="AF7" s="141">
        <v>2009</v>
      </c>
      <c r="AG7" s="142">
        <v>142.10772833723652</v>
      </c>
      <c r="AH7" s="140">
        <v>37.475633528265107</v>
      </c>
      <c r="AI7" s="140">
        <v>148.43386243386243</v>
      </c>
      <c r="AJ7" s="140">
        <v>148.43386243386243</v>
      </c>
      <c r="AK7" s="140">
        <v>74.948717948717942</v>
      </c>
      <c r="AL7" s="140">
        <v>39.906976744186046</v>
      </c>
      <c r="AM7" s="282">
        <v>2.5</v>
      </c>
      <c r="AN7" s="5"/>
      <c r="AO7" s="142">
        <v>142.10772833723652</v>
      </c>
      <c r="AP7" s="140">
        <v>37.475633528265107</v>
      </c>
      <c r="AQ7" s="140">
        <v>148.43386243386243</v>
      </c>
      <c r="AR7" s="140">
        <v>148.43386243386243</v>
      </c>
      <c r="AS7" s="140">
        <v>74.948717948717942</v>
      </c>
      <c r="AT7" s="140">
        <v>39.906976744186046</v>
      </c>
      <c r="AU7" s="282">
        <v>2.5</v>
      </c>
      <c r="AV7" s="1">
        <f>GP_Owned_CashRent!S18</f>
        <v>0</v>
      </c>
      <c r="AW7" s="173">
        <f>MAX(AW25,GP_Owned_CashRent!K$15)</f>
        <v>3.7</v>
      </c>
      <c r="AX7" s="173">
        <f>MAX(AX25,GP_Owned_CashRent!L$15)</f>
        <v>9.59</v>
      </c>
      <c r="AY7" s="173">
        <f>MAX(AY25,GP_Owned_CashRent!M$15)</f>
        <v>6.3000000000000007</v>
      </c>
      <c r="AZ7" s="173">
        <f>MAX(AZ25,GP_Owned_CashRent!N$15)</f>
        <v>6.81</v>
      </c>
      <c r="BA7" s="173">
        <f>MAX(BA25,GP_Owned_CashRent!O$15)</f>
        <v>3.95</v>
      </c>
      <c r="BB7" s="173">
        <f>MAX(BB25,GP_Owned_CashRent!P$15)</f>
        <v>5.5</v>
      </c>
      <c r="BC7" s="173">
        <v>350</v>
      </c>
      <c r="BD7" s="1">
        <f>GP_Owned_CashRent!AB18</f>
        <v>0</v>
      </c>
      <c r="BE7" s="172">
        <f>AG7*MAX(AW7,GP_Owned_CashRent!T$15)</f>
        <v>525.79859484777512</v>
      </c>
      <c r="BF7" s="8">
        <f>AH7*MAX(AX7,GP_Owned_CashRent!U$15)</f>
        <v>359.39132553606237</v>
      </c>
      <c r="BG7" s="8">
        <f>AI7*MAX(AY7,GP_Owned_CashRent!V$15)</f>
        <v>935.13333333333344</v>
      </c>
      <c r="BH7" s="8">
        <f>AJ7*MAX(AZ7,GP_Owned_CashRent!W$15)</f>
        <v>1010.8346031746031</v>
      </c>
      <c r="BI7" s="8">
        <f>AK7*MAX(BA7,GP_Owned_CashRent!X$15)</f>
        <v>296.04743589743589</v>
      </c>
      <c r="BJ7" s="8">
        <f>AL7*MAX(BB7,GP_Owned_CashRent!Y$15)</f>
        <v>219.48837209302326</v>
      </c>
      <c r="BK7" s="8">
        <f>AM7*MAX(BC7,GP_Owned_CashRent!Z$15)</f>
        <v>875</v>
      </c>
      <c r="BL7" s="1" t="e">
        <v>#REF!</v>
      </c>
      <c r="BM7" s="41">
        <v>3.79</v>
      </c>
      <c r="BN7" s="41">
        <v>9.66</v>
      </c>
      <c r="BO7" s="41">
        <v>5.8049999999999997</v>
      </c>
      <c r="BP7" s="41">
        <v>6.81</v>
      </c>
      <c r="BQ7" s="41">
        <v>3.2311999999999999</v>
      </c>
      <c r="BR7" s="41">
        <v>4.8600000000000003</v>
      </c>
      <c r="BS7" s="3">
        <v>435</v>
      </c>
      <c r="BT7" s="10"/>
      <c r="BU7" t="s">
        <v>10</v>
      </c>
      <c r="BV7" s="11">
        <v>3.95</v>
      </c>
      <c r="BW7" s="11">
        <v>3.95</v>
      </c>
      <c r="BX7" s="11">
        <v>5.0199999999999996</v>
      </c>
      <c r="BY7" s="11">
        <v>5.99</v>
      </c>
      <c r="BZ7" s="11">
        <v>6.33</v>
      </c>
      <c r="CA7" s="11">
        <v>4.26</v>
      </c>
      <c r="CB7" s="111" t="e">
        <f>GP_Owned_CashRent!$F$3</f>
        <v>#REF!</v>
      </c>
      <c r="CC7" s="11" t="e">
        <f t="shared" si="2"/>
        <v>#REF!</v>
      </c>
      <c r="CD7" s="11" t="e">
        <f t="shared" si="2"/>
        <v>#REF!</v>
      </c>
      <c r="CE7" s="11" t="e">
        <f t="shared" si="2"/>
        <v>#REF!</v>
      </c>
      <c r="CF7" s="11" t="e">
        <f t="shared" si="2"/>
        <v>#REF!</v>
      </c>
      <c r="CG7" s="171" t="e">
        <f t="shared" si="2"/>
        <v>#REF!</v>
      </c>
    </row>
    <row r="8" spans="1:85" ht="14.4" thickBot="1" x14ac:dyDescent="0.3">
      <c r="A8" s="139" t="s">
        <v>79</v>
      </c>
      <c r="B8" s="161">
        <f t="shared" ref="B8:H8" si="3">AG16</f>
        <v>135.07697404530228</v>
      </c>
      <c r="C8" s="161">
        <f t="shared" si="3"/>
        <v>37.25774418664362</v>
      </c>
      <c r="D8" s="161">
        <f t="shared" si="3"/>
        <v>134.94447017203873</v>
      </c>
      <c r="E8" s="161">
        <f t="shared" si="3"/>
        <v>134.94447017203873</v>
      </c>
      <c r="F8" s="161">
        <f t="shared" si="3"/>
        <v>67.205697134940849</v>
      </c>
      <c r="G8" s="161">
        <f t="shared" si="3"/>
        <v>40.726394192005948</v>
      </c>
      <c r="H8" s="288">
        <f t="shared" si="3"/>
        <v>2.25</v>
      </c>
      <c r="I8" s="159"/>
      <c r="J8" s="71"/>
      <c r="K8" s="247" t="s">
        <v>40</v>
      </c>
      <c r="L8" s="66" t="s">
        <v>40</v>
      </c>
      <c r="M8" s="66" t="s">
        <v>40</v>
      </c>
      <c r="N8" s="66" t="s">
        <v>40</v>
      </c>
      <c r="O8" s="66" t="s">
        <v>40</v>
      </c>
      <c r="P8" s="66" t="s">
        <v>40</v>
      </c>
      <c r="Q8" s="158"/>
      <c r="R8" s="158"/>
      <c r="S8" s="264"/>
      <c r="T8" s="247" t="s">
        <v>40</v>
      </c>
      <c r="U8" s="66" t="s">
        <v>40</v>
      </c>
      <c r="V8" s="66" t="s">
        <v>40</v>
      </c>
      <c r="W8" s="66"/>
      <c r="X8" s="66" t="s">
        <v>40</v>
      </c>
      <c r="Y8" s="66" t="s">
        <v>40</v>
      </c>
      <c r="Z8" s="158"/>
      <c r="AA8" s="158"/>
      <c r="AB8" s="13"/>
      <c r="AC8" s="157">
        <v>750</v>
      </c>
      <c r="AD8" s="10"/>
      <c r="AE8" s="169"/>
      <c r="AF8" s="168">
        <v>2008</v>
      </c>
      <c r="AG8" s="167">
        <v>152.86697247706422</v>
      </c>
      <c r="AH8" s="166">
        <v>40.524193548387096</v>
      </c>
      <c r="AI8" s="166">
        <v>146.98803418803419</v>
      </c>
      <c r="AJ8" s="166">
        <v>146.98803418803419</v>
      </c>
      <c r="AK8" s="166">
        <v>82.276422764227647</v>
      </c>
      <c r="AL8" s="166">
        <v>52.205607476635514</v>
      </c>
      <c r="AM8" s="286">
        <v>2.5</v>
      </c>
      <c r="AN8" s="5"/>
      <c r="AO8" s="167">
        <v>152.86697247706422</v>
      </c>
      <c r="AP8" s="166">
        <v>40.524193548387096</v>
      </c>
      <c r="AQ8" s="166">
        <v>146.98803418803419</v>
      </c>
      <c r="AR8" s="166">
        <v>146.98803418803419</v>
      </c>
      <c r="AS8" s="166">
        <v>82.276422764227647</v>
      </c>
      <c r="AT8" s="166">
        <v>52.205607476635514</v>
      </c>
      <c r="AU8" s="283">
        <v>2.5</v>
      </c>
      <c r="AV8" s="131">
        <f>GP_Owned_CashRent!S20</f>
        <v>0</v>
      </c>
      <c r="AW8" s="165">
        <f>MAX(AW26,GP_Owned_CashRent!K$15)</f>
        <v>4.0599999999999996</v>
      </c>
      <c r="AX8" s="165">
        <f>MAX(AX26,GP_Owned_CashRent!L$15)</f>
        <v>9.9700000000000006</v>
      </c>
      <c r="AY8" s="165">
        <f>MAX(AY26,GP_Owned_CashRent!M$15)</f>
        <v>6.7050000000000001</v>
      </c>
      <c r="AZ8" s="165">
        <f>MAX(AZ26,GP_Owned_CashRent!N$15)</f>
        <v>7.71</v>
      </c>
      <c r="BA8" s="165">
        <f>MAX(BA26,GP_Owned_CashRent!O$15)</f>
        <v>3.95</v>
      </c>
      <c r="BB8" s="165">
        <f>MAX(BB26,GP_Owned_CashRent!P$15)</f>
        <v>6.78</v>
      </c>
      <c r="BC8" s="165">
        <v>350</v>
      </c>
      <c r="BD8" s="131">
        <f>GP_Owned_CashRent!AB20</f>
        <v>0</v>
      </c>
      <c r="BE8" s="164"/>
      <c r="BF8" s="9"/>
      <c r="BG8" s="9"/>
      <c r="BH8" s="9"/>
      <c r="BI8" s="9"/>
      <c r="BJ8" s="9"/>
      <c r="BK8" s="9"/>
      <c r="BL8" s="131" t="e">
        <v>#REF!</v>
      </c>
      <c r="BM8" s="271">
        <v>4.42</v>
      </c>
      <c r="BN8" s="163">
        <v>9.64</v>
      </c>
      <c r="BO8" s="163">
        <v>6.7050000000000001</v>
      </c>
      <c r="BP8" s="163">
        <v>7.71</v>
      </c>
      <c r="BQ8" s="163">
        <v>3.8807999999999998</v>
      </c>
      <c r="BR8" s="163">
        <v>5.88</v>
      </c>
      <c r="BS8" s="272">
        <v>435</v>
      </c>
      <c r="BT8" s="10"/>
      <c r="BU8" s="57" t="s">
        <v>11</v>
      </c>
      <c r="BV8" s="109">
        <v>6.78</v>
      </c>
      <c r="BW8" s="109">
        <v>5.5</v>
      </c>
      <c r="BX8" s="109">
        <v>5.7</v>
      </c>
      <c r="BY8" s="109">
        <v>7.24</v>
      </c>
      <c r="BZ8" s="109">
        <v>7.77</v>
      </c>
      <c r="CA8" s="109">
        <v>6.8</v>
      </c>
      <c r="CB8" s="110" t="e">
        <f>GP_Owned_CashRent!$G$3</f>
        <v>#REF!</v>
      </c>
      <c r="CC8" s="109" t="e">
        <f t="shared" si="2"/>
        <v>#REF!</v>
      </c>
      <c r="CD8" s="109" t="e">
        <f t="shared" si="2"/>
        <v>#REF!</v>
      </c>
      <c r="CE8" s="109" t="e">
        <f t="shared" si="2"/>
        <v>#REF!</v>
      </c>
      <c r="CF8" s="109" t="e">
        <f t="shared" si="2"/>
        <v>#REF!</v>
      </c>
      <c r="CG8" s="162" t="e">
        <f t="shared" si="2"/>
        <v>#REF!</v>
      </c>
    </row>
    <row r="9" spans="1:85" ht="14.4" thickBot="1" x14ac:dyDescent="0.3">
      <c r="A9" s="139" t="s">
        <v>78</v>
      </c>
      <c r="B9" s="155">
        <v>300</v>
      </c>
      <c r="C9" s="154">
        <v>300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275">
        <f>SUM(B9:H9)</f>
        <v>600</v>
      </c>
      <c r="J9" s="71"/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0</v>
      </c>
      <c r="Q9" s="152">
        <v>0</v>
      </c>
      <c r="R9" s="243">
        <f>SUM(K9:Q9)</f>
        <v>0</v>
      </c>
      <c r="S9" s="264"/>
      <c r="T9" s="152">
        <v>0</v>
      </c>
      <c r="U9" s="152">
        <v>0</v>
      </c>
      <c r="V9" s="152">
        <v>0</v>
      </c>
      <c r="W9" s="152">
        <v>0</v>
      </c>
      <c r="X9" s="152">
        <v>0</v>
      </c>
      <c r="Y9" s="152">
        <v>0</v>
      </c>
      <c r="Z9" s="152">
        <v>0</v>
      </c>
      <c r="AA9" s="243">
        <f>SUM(T9:Z9)</f>
        <v>0</v>
      </c>
      <c r="AB9" s="13"/>
      <c r="AC9" s="151">
        <v>0</v>
      </c>
      <c r="AD9" s="10"/>
      <c r="AE9" s="209"/>
      <c r="AF9" s="210"/>
      <c r="AG9" s="211"/>
      <c r="AH9" s="210"/>
      <c r="AI9" s="210"/>
      <c r="AJ9" s="210"/>
      <c r="AK9" s="210"/>
      <c r="AL9" s="210"/>
      <c r="AM9" s="210"/>
      <c r="AN9" s="5"/>
      <c r="AO9" s="210"/>
      <c r="AP9" s="210"/>
      <c r="AQ9" s="210"/>
      <c r="AR9" s="210"/>
      <c r="AS9" s="210"/>
      <c r="AT9" s="210"/>
      <c r="AU9" s="210"/>
      <c r="AV9" s="131">
        <f>GP_Owned_CashRent!S26</f>
        <v>0</v>
      </c>
      <c r="AW9" s="210"/>
      <c r="AX9" s="210"/>
      <c r="AY9" s="210"/>
      <c r="AZ9" s="210"/>
      <c r="BA9" s="210"/>
      <c r="BB9" s="210"/>
      <c r="BC9" s="210"/>
      <c r="BD9" s="131">
        <f>GP_Owned_CashRent!AB26</f>
        <v>0</v>
      </c>
      <c r="BE9" s="218"/>
      <c r="BF9" s="218"/>
      <c r="BG9" s="218"/>
      <c r="BH9" s="218"/>
      <c r="BI9" s="218"/>
      <c r="BJ9" s="218"/>
      <c r="BK9" s="218"/>
      <c r="BL9" s="131" t="e">
        <v>#REF!</v>
      </c>
      <c r="BM9" s="4"/>
      <c r="BN9" s="4"/>
      <c r="BO9" s="4"/>
      <c r="BP9" s="4"/>
      <c r="BQ9" s="4"/>
      <c r="BR9" s="4"/>
      <c r="BS9" s="4"/>
      <c r="BT9" s="10"/>
      <c r="BU9" s="46" t="s">
        <v>7</v>
      </c>
      <c r="BV9" s="104"/>
      <c r="BW9" s="104"/>
      <c r="BX9" s="104"/>
      <c r="BY9" s="104"/>
      <c r="BZ9" s="104"/>
      <c r="CA9" s="104"/>
      <c r="CB9" s="105"/>
      <c r="CC9" s="104"/>
      <c r="CD9" s="104"/>
      <c r="CE9" s="104"/>
      <c r="CF9" s="104"/>
      <c r="CG9" s="156"/>
    </row>
    <row r="10" spans="1:85" ht="16.2" thickBot="1" x14ac:dyDescent="0.35">
      <c r="A10" s="139" t="s">
        <v>75</v>
      </c>
      <c r="B10" s="150">
        <v>1</v>
      </c>
      <c r="C10" s="149">
        <v>1</v>
      </c>
      <c r="D10" s="149">
        <v>1</v>
      </c>
      <c r="E10" s="149">
        <v>1</v>
      </c>
      <c r="F10" s="149">
        <v>1</v>
      </c>
      <c r="G10" s="149">
        <v>1</v>
      </c>
      <c r="H10" s="149">
        <v>1</v>
      </c>
      <c r="I10" s="236"/>
      <c r="J10" s="254"/>
      <c r="K10" s="248">
        <f t="shared" ref="K10:Q10" si="4">B10</f>
        <v>1</v>
      </c>
      <c r="L10" s="147">
        <f t="shared" si="4"/>
        <v>1</v>
      </c>
      <c r="M10" s="147">
        <f t="shared" si="4"/>
        <v>1</v>
      </c>
      <c r="N10" s="147">
        <f t="shared" si="4"/>
        <v>1</v>
      </c>
      <c r="O10" s="147">
        <f t="shared" si="4"/>
        <v>1</v>
      </c>
      <c r="P10" s="147">
        <f t="shared" si="4"/>
        <v>1</v>
      </c>
      <c r="Q10" s="147">
        <f t="shared" si="4"/>
        <v>1</v>
      </c>
      <c r="R10" s="126"/>
      <c r="S10" s="254"/>
      <c r="T10" s="262"/>
      <c r="U10" s="146"/>
      <c r="V10" s="146"/>
      <c r="W10" s="146"/>
      <c r="X10" s="146"/>
      <c r="Y10" s="146"/>
      <c r="Z10" s="265"/>
      <c r="AA10" s="145"/>
      <c r="AB10" s="13"/>
      <c r="AC10" s="144">
        <v>1</v>
      </c>
      <c r="AD10" s="10"/>
      <c r="AE10" s="209" t="s">
        <v>77</v>
      </c>
      <c r="AF10" s="212" t="s">
        <v>76</v>
      </c>
      <c r="AG10" s="213"/>
      <c r="AH10" s="214"/>
      <c r="AI10" s="215"/>
      <c r="AJ10" s="215"/>
      <c r="AK10" s="215"/>
      <c r="AL10" s="214"/>
      <c r="AM10" s="214"/>
      <c r="AN10" s="5"/>
      <c r="AO10" s="214">
        <f t="shared" ref="AO10:AU10" si="5">(SUM(AO3:AO7)-MIN(AO3:AO7)-MAX(AO3:AO7))/3</f>
        <v>154.91830190408828</v>
      </c>
      <c r="AP10" s="214">
        <f t="shared" si="5"/>
        <v>42.499199676241183</v>
      </c>
      <c r="AQ10" s="214">
        <f t="shared" si="5"/>
        <v>153.199309542572</v>
      </c>
      <c r="AR10" s="214">
        <f t="shared" si="5"/>
        <v>153.199309542572</v>
      </c>
      <c r="AS10" s="214">
        <f t="shared" si="5"/>
        <v>75.211338621410562</v>
      </c>
      <c r="AT10" s="214">
        <f t="shared" si="5"/>
        <v>44.715053763440864</v>
      </c>
      <c r="AU10" s="284">
        <f t="shared" si="5"/>
        <v>2.5</v>
      </c>
      <c r="AV10" s="131">
        <f>GP_Owned_CashRent!S27</f>
        <v>0</v>
      </c>
      <c r="AW10" s="217">
        <f t="shared" ref="AW10:BC10" si="6">(SUM(AW3:AW7)-MIN(AW3:AW7)-MAX(AW3:AW7))/3</f>
        <v>5.3</v>
      </c>
      <c r="AX10" s="217">
        <f t="shared" si="6"/>
        <v>12.16666666666667</v>
      </c>
      <c r="AY10" s="217">
        <f t="shared" si="6"/>
        <v>6.3750000000000009</v>
      </c>
      <c r="AZ10" s="217">
        <f t="shared" si="6"/>
        <v>7.1233333333333348</v>
      </c>
      <c r="BA10" s="217">
        <f t="shared" si="6"/>
        <v>5.0885333333333342</v>
      </c>
      <c r="BB10" s="217">
        <f t="shared" si="6"/>
        <v>6.5800000000000018</v>
      </c>
      <c r="BC10" s="217">
        <f t="shared" si="6"/>
        <v>350</v>
      </c>
      <c r="BD10" s="131">
        <f>GP_Owned_CashRent!AB27</f>
        <v>0</v>
      </c>
      <c r="BE10" s="218">
        <f t="shared" ref="BE10:BJ10" si="7">(SUM(BE3:BE7)-MIN(BE3:BE7)-MAX(BE3:BE7))/3</f>
        <v>808.26888412859591</v>
      </c>
      <c r="BF10" s="218">
        <f t="shared" si="7"/>
        <v>518.59397800696377</v>
      </c>
      <c r="BG10" s="218">
        <f t="shared" si="7"/>
        <v>977.58586288416097</v>
      </c>
      <c r="BH10" s="218">
        <f t="shared" si="7"/>
        <v>1093.7286912079255</v>
      </c>
      <c r="BI10" s="218">
        <f t="shared" si="7"/>
        <v>386.52794159845325</v>
      </c>
      <c r="BJ10" s="218">
        <f t="shared" si="7"/>
        <v>310.89698924731186</v>
      </c>
      <c r="BK10" s="218">
        <f t="shared" ref="BK10" si="8">(SUM(BK3:BK7)-MIN(BK3:BK7)-MAX(BK3:BK7))/3</f>
        <v>875</v>
      </c>
      <c r="BL10" s="131" t="e">
        <v>#REF!</v>
      </c>
      <c r="BM10" s="3"/>
      <c r="BN10" s="3"/>
      <c r="BO10" s="3"/>
      <c r="BP10" s="3"/>
      <c r="BQ10" s="3"/>
      <c r="BR10" s="3"/>
      <c r="BS10" s="3"/>
      <c r="BT10" s="10"/>
      <c r="BU10" s="99" t="s">
        <v>54</v>
      </c>
      <c r="BV10" s="97"/>
      <c r="BW10" s="97"/>
      <c r="BX10" s="97"/>
      <c r="BY10" s="97"/>
      <c r="BZ10" s="97"/>
      <c r="CA10" s="97"/>
      <c r="CB10" s="98"/>
      <c r="CC10" s="97"/>
      <c r="CD10" s="97"/>
      <c r="CE10" s="97"/>
      <c r="CF10" s="97"/>
      <c r="CG10" s="97"/>
    </row>
    <row r="11" spans="1:85" ht="14.4" thickBot="1" x14ac:dyDescent="0.3">
      <c r="A11" s="139" t="s">
        <v>74</v>
      </c>
      <c r="B11" s="237"/>
      <c r="C11" s="238"/>
      <c r="D11" s="238"/>
      <c r="E11" s="238"/>
      <c r="F11" s="238"/>
      <c r="G11" s="238"/>
      <c r="H11" s="239"/>
      <c r="I11" s="239"/>
      <c r="J11" s="71"/>
      <c r="K11" s="240"/>
      <c r="L11" s="241"/>
      <c r="M11" s="241"/>
      <c r="N11" s="241"/>
      <c r="O11" s="241"/>
      <c r="P11" s="241"/>
      <c r="Q11" s="242"/>
      <c r="R11" s="242"/>
      <c r="S11" s="264"/>
      <c r="T11" s="153">
        <v>1</v>
      </c>
      <c r="U11" s="153">
        <v>1</v>
      </c>
      <c r="V11" s="153"/>
      <c r="W11" s="153"/>
      <c r="X11" s="153"/>
      <c r="Y11" s="153"/>
      <c r="Z11" s="153"/>
      <c r="AA11" s="276">
        <f>SUM(T11:Z11)</f>
        <v>2</v>
      </c>
      <c r="AB11" s="12"/>
      <c r="AC11" s="138">
        <v>1</v>
      </c>
      <c r="AD11" s="10"/>
      <c r="AE11" s="209" t="s">
        <v>73</v>
      </c>
      <c r="AF11" s="212" t="s">
        <v>72</v>
      </c>
      <c r="AG11" s="216">
        <f t="shared" ref="AG11:AM11" si="9">AVERAGE(AG4:AG8)</f>
        <v>150.08552671700252</v>
      </c>
      <c r="AH11" s="214">
        <f t="shared" si="9"/>
        <v>41.397493540715132</v>
      </c>
      <c r="AI11" s="214">
        <f t="shared" si="9"/>
        <v>149.93830019115416</v>
      </c>
      <c r="AJ11" s="214">
        <f t="shared" si="9"/>
        <v>149.93830019115416</v>
      </c>
      <c r="AK11" s="214">
        <f t="shared" si="9"/>
        <v>74.672996816600943</v>
      </c>
      <c r="AL11" s="214">
        <f t="shared" si="9"/>
        <v>45.251549102228829</v>
      </c>
      <c r="AM11" s="284">
        <f t="shared" si="9"/>
        <v>2.5</v>
      </c>
      <c r="AN11" s="5"/>
      <c r="AO11" s="215"/>
      <c r="AP11" s="214"/>
      <c r="AQ11" s="215"/>
      <c r="AR11" s="215"/>
      <c r="AS11" s="215"/>
      <c r="AT11" s="214"/>
      <c r="AU11" s="214"/>
      <c r="AV11" s="131" t="e">
        <v>#REF!</v>
      </c>
      <c r="AW11" s="210"/>
      <c r="AX11" s="210"/>
      <c r="AY11" s="210"/>
      <c r="AZ11" s="210"/>
      <c r="BA11" s="210"/>
      <c r="BB11" s="210"/>
      <c r="BC11" s="210"/>
      <c r="BD11" s="1" t="e">
        <v>#REF!</v>
      </c>
      <c r="BE11" s="218"/>
      <c r="BF11" s="218"/>
      <c r="BG11" s="218"/>
      <c r="BH11" s="218"/>
      <c r="BI11" s="218"/>
      <c r="BJ11" s="218"/>
      <c r="BK11" s="218"/>
      <c r="BL11" s="131" t="e">
        <v>#REF!</v>
      </c>
      <c r="BM11" s="4"/>
      <c r="BN11" s="4"/>
      <c r="BO11" s="4"/>
      <c r="BP11" s="4"/>
      <c r="BQ11" s="4"/>
      <c r="BR11" s="4"/>
      <c r="BS11" s="4"/>
      <c r="BT11" s="10"/>
      <c r="BU11" t="s">
        <v>6</v>
      </c>
      <c r="BV11" s="75">
        <v>152.9</v>
      </c>
      <c r="BW11" s="75">
        <v>142.1</v>
      </c>
      <c r="BX11" s="75">
        <v>147.69999999999999</v>
      </c>
      <c r="BY11" s="75">
        <v>132.80000000000001</v>
      </c>
      <c r="BZ11" s="75">
        <v>175</v>
      </c>
      <c r="CA11" s="75">
        <v>185.3</v>
      </c>
      <c r="CB11" s="76" t="e">
        <f>GP_Owned_CashRent!$K$5</f>
        <v>#REF!</v>
      </c>
      <c r="CC11" s="75" t="e">
        <f t="shared" ref="CC11:CG15" si="10">CB11*CC$34</f>
        <v>#REF!</v>
      </c>
      <c r="CD11" s="75" t="e">
        <f t="shared" si="10"/>
        <v>#REF!</v>
      </c>
      <c r="CE11" s="75" t="e">
        <f t="shared" si="10"/>
        <v>#REF!</v>
      </c>
      <c r="CF11" s="75" t="e">
        <f t="shared" si="10"/>
        <v>#REF!</v>
      </c>
      <c r="CG11" s="125" t="e">
        <f t="shared" si="10"/>
        <v>#REF!</v>
      </c>
    </row>
    <row r="12" spans="1:85" ht="14.4" thickBot="1" x14ac:dyDescent="0.3">
      <c r="A12" s="124" t="s">
        <v>69</v>
      </c>
      <c r="B12" s="127" t="e">
        <f t="shared" ref="B12:H12" si="11">B13*B8*(B9*0.85)*B10</f>
        <v>#REF!</v>
      </c>
      <c r="C12" s="127" t="e">
        <f t="shared" si="11"/>
        <v>#REF!</v>
      </c>
      <c r="D12" s="127" t="e">
        <f t="shared" si="11"/>
        <v>#REF!</v>
      </c>
      <c r="E12" s="127" t="e">
        <f t="shared" si="11"/>
        <v>#REF!</v>
      </c>
      <c r="F12" s="127" t="e">
        <f t="shared" si="11"/>
        <v>#REF!</v>
      </c>
      <c r="G12" s="127" t="e">
        <f t="shared" si="11"/>
        <v>#REF!</v>
      </c>
      <c r="H12" s="127">
        <f t="shared" si="11"/>
        <v>0</v>
      </c>
      <c r="I12" s="127" t="e">
        <f>SUM(B12:H12)</f>
        <v>#REF!</v>
      </c>
      <c r="J12" s="255"/>
      <c r="K12" s="127" t="e">
        <f t="shared" ref="K12:Q12" si="12">K13*(K9*0.85)*K10</f>
        <v>#REF!</v>
      </c>
      <c r="L12" s="127" t="e">
        <f t="shared" si="12"/>
        <v>#REF!</v>
      </c>
      <c r="M12" s="127" t="e">
        <f t="shared" si="12"/>
        <v>#REF!</v>
      </c>
      <c r="N12" s="127" t="e">
        <f t="shared" si="12"/>
        <v>#REF!</v>
      </c>
      <c r="O12" s="127" t="e">
        <f t="shared" si="12"/>
        <v>#REF!</v>
      </c>
      <c r="P12" s="127" t="e">
        <f t="shared" si="12"/>
        <v>#REF!</v>
      </c>
      <c r="Q12" s="127">
        <f t="shared" si="12"/>
        <v>0</v>
      </c>
      <c r="R12" s="127" t="e">
        <f>SUM(K12:Q12)</f>
        <v>#REF!</v>
      </c>
      <c r="S12" s="264"/>
      <c r="T12" s="127" t="e">
        <f>T13*(SUM($T9:$Z9)*0.65)</f>
        <v>#REF!</v>
      </c>
      <c r="U12" s="127" t="e">
        <f t="shared" ref="U12:Z12" si="13">U13*(SUM($T9:$Z9)*0.65)</f>
        <v>#REF!</v>
      </c>
      <c r="V12" s="127">
        <f t="shared" si="13"/>
        <v>0</v>
      </c>
      <c r="W12" s="127">
        <f t="shared" si="13"/>
        <v>0</v>
      </c>
      <c r="X12" s="127">
        <f t="shared" si="13"/>
        <v>0</v>
      </c>
      <c r="Y12" s="127">
        <f t="shared" si="13"/>
        <v>0</v>
      </c>
      <c r="Z12" s="127">
        <f t="shared" si="13"/>
        <v>0</v>
      </c>
      <c r="AA12" s="127" t="e">
        <f>MAX(T12:Z12)</f>
        <v>#REF!</v>
      </c>
      <c r="AB12" s="12"/>
      <c r="AC12" s="122" t="s">
        <v>40</v>
      </c>
      <c r="AD12" s="10"/>
      <c r="AE12" s="137" t="s">
        <v>73</v>
      </c>
      <c r="AF12" s="136" t="s">
        <v>72</v>
      </c>
      <c r="AG12" s="135" t="s">
        <v>71</v>
      </c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274"/>
      <c r="AV12" s="1"/>
      <c r="AW12" s="134">
        <f t="shared" ref="AW12:BC12" si="14">AVERAGE(AW4:AW8)</f>
        <v>5.2099999999999991</v>
      </c>
      <c r="AX12" s="130">
        <f t="shared" si="14"/>
        <v>11.552000000000001</v>
      </c>
      <c r="AY12" s="130">
        <f t="shared" si="14"/>
        <v>6.4260000000000002</v>
      </c>
      <c r="AZ12" s="130">
        <f t="shared" si="14"/>
        <v>7.0759999999999987</v>
      </c>
      <c r="BA12" s="130">
        <f t="shared" si="14"/>
        <v>5.0475200000000005</v>
      </c>
      <c r="BB12" s="130">
        <f t="shared" si="14"/>
        <v>6.5980000000000008</v>
      </c>
      <c r="BC12" s="130">
        <f t="shared" si="14"/>
        <v>350</v>
      </c>
      <c r="BD12" s="27"/>
      <c r="BE12" s="132"/>
      <c r="BF12" s="132"/>
      <c r="BG12" s="132"/>
      <c r="BH12" s="132"/>
      <c r="BI12" s="132"/>
      <c r="BJ12" s="132"/>
      <c r="BK12" s="132"/>
      <c r="BL12" s="131"/>
      <c r="BM12" s="130">
        <f t="shared" ref="BM12:BS12" si="15">AVERAGE(BM4:BM8)</f>
        <v>5.1679999999999993</v>
      </c>
      <c r="BN12" s="130">
        <f t="shared" si="15"/>
        <v>11.36</v>
      </c>
      <c r="BO12" s="130">
        <f t="shared" si="15"/>
        <v>6.0030000000000001</v>
      </c>
      <c r="BP12" s="130">
        <f t="shared" si="15"/>
        <v>7.0060000000000002</v>
      </c>
      <c r="BQ12" s="130">
        <f t="shared" si="15"/>
        <v>4.6076800000000002</v>
      </c>
      <c r="BR12" s="130">
        <f t="shared" si="15"/>
        <v>6.0059999999999993</v>
      </c>
      <c r="BS12" s="130">
        <f t="shared" si="15"/>
        <v>435</v>
      </c>
      <c r="BT12" s="10"/>
      <c r="BU12" t="s">
        <v>9</v>
      </c>
      <c r="BV12" s="75">
        <v>40.5</v>
      </c>
      <c r="BW12" s="75">
        <v>37.5</v>
      </c>
      <c r="BX12" s="75">
        <v>39.299999999999997</v>
      </c>
      <c r="BY12" s="75">
        <v>42</v>
      </c>
      <c r="BZ12" s="75">
        <v>47.7</v>
      </c>
      <c r="CA12" s="75">
        <v>46.2</v>
      </c>
      <c r="CB12" s="76" t="e">
        <f>GP_Owned_CashRent!$L$5</f>
        <v>#REF!</v>
      </c>
      <c r="CC12" s="75" t="e">
        <f t="shared" si="10"/>
        <v>#REF!</v>
      </c>
      <c r="CD12" s="75" t="e">
        <f t="shared" si="10"/>
        <v>#REF!</v>
      </c>
      <c r="CE12" s="75" t="e">
        <f t="shared" si="10"/>
        <v>#REF!</v>
      </c>
      <c r="CF12" s="75" t="e">
        <f t="shared" si="10"/>
        <v>#REF!</v>
      </c>
      <c r="CG12" s="125" t="e">
        <f t="shared" si="10"/>
        <v>#REF!</v>
      </c>
    </row>
    <row r="13" spans="1:85" x14ac:dyDescent="0.25">
      <c r="A13" s="93" t="s">
        <v>65</v>
      </c>
      <c r="B13" s="96" t="e">
        <f t="shared" ref="B13:H13" si="16">IF(B3&lt;B15,B15-B16,0)</f>
        <v>#REF!</v>
      </c>
      <c r="C13" s="96" t="e">
        <f t="shared" si="16"/>
        <v>#REF!</v>
      </c>
      <c r="D13" s="96" t="e">
        <f t="shared" si="16"/>
        <v>#REF!</v>
      </c>
      <c r="E13" s="96" t="e">
        <f t="shared" si="16"/>
        <v>#REF!</v>
      </c>
      <c r="F13" s="96" t="e">
        <f t="shared" si="16"/>
        <v>#REF!</v>
      </c>
      <c r="G13" s="96" t="e">
        <f t="shared" si="16"/>
        <v>#REF!</v>
      </c>
      <c r="H13" s="96">
        <f t="shared" si="16"/>
        <v>100</v>
      </c>
      <c r="I13" s="80"/>
      <c r="J13" s="256"/>
      <c r="K13" s="96" t="e">
        <f t="shared" ref="K13:P13" si="17">IF(K20&lt;K17,MIN(K17-K20,K18*0.1),0)</f>
        <v>#REF!</v>
      </c>
      <c r="L13" s="96" t="e">
        <f t="shared" si="17"/>
        <v>#REF!</v>
      </c>
      <c r="M13" s="96" t="e">
        <f t="shared" si="17"/>
        <v>#REF!</v>
      </c>
      <c r="N13" s="96" t="e">
        <f t="shared" si="17"/>
        <v>#REF!</v>
      </c>
      <c r="O13" s="96" t="e">
        <f t="shared" si="17"/>
        <v>#REF!</v>
      </c>
      <c r="P13" s="96" t="e">
        <f t="shared" si="17"/>
        <v>#REF!</v>
      </c>
      <c r="Q13" s="96">
        <f t="shared" ref="Q13" si="18">IF(Q20&lt;Q17,MIN(Q17-Q20,Q18*0.1),0)</f>
        <v>0</v>
      </c>
      <c r="R13" s="80"/>
      <c r="S13" s="264"/>
      <c r="T13" s="96" t="e">
        <f t="shared" ref="T13:Y13" si="19">IF(T20&lt;T17,MIN(T17-T20,T18*0.1),0)</f>
        <v>#REF!</v>
      </c>
      <c r="U13" s="96" t="e">
        <f t="shared" si="19"/>
        <v>#REF!</v>
      </c>
      <c r="V13" s="96">
        <f t="shared" si="19"/>
        <v>0</v>
      </c>
      <c r="W13" s="96">
        <f t="shared" si="19"/>
        <v>0</v>
      </c>
      <c r="X13" s="96">
        <f t="shared" si="19"/>
        <v>0</v>
      </c>
      <c r="Y13" s="96">
        <f t="shared" si="19"/>
        <v>0</v>
      </c>
      <c r="Z13" s="96">
        <f t="shared" ref="Z13" si="20">IF(Z20&lt;Z17,MIN(Z17-Z20,Z18*0.1),0)</f>
        <v>0</v>
      </c>
      <c r="AA13" s="80"/>
      <c r="AB13" s="12"/>
      <c r="AC13" s="106"/>
      <c r="AD13" s="10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128"/>
      <c r="AW13" s="119" t="str">
        <f>IF(AW21&lt;GP_Owned_CashRent!K$15,"Plug","OK")</f>
        <v>OK</v>
      </c>
      <c r="AX13" s="119" t="str">
        <f>IF(AX21&lt;GP_Owned_CashRent!L$15,"Plug","OK")</f>
        <v>OK</v>
      </c>
      <c r="AY13" s="119" t="str">
        <f>IF(AY21&lt;GP_Owned_CashRent!M$15,"Plug","OK")</f>
        <v>OK</v>
      </c>
      <c r="AZ13" s="119" t="str">
        <f>IF(AZ21&lt;GP_Owned_CashRent!N$15,"Plug","OK")</f>
        <v>OK</v>
      </c>
      <c r="BA13" s="119" t="str">
        <f>IF(BA21&lt;GP_Owned_CashRent!O$15,"Plug","OK")</f>
        <v>OK</v>
      </c>
      <c r="BB13" s="119" t="str">
        <f>IF(BB21&lt;GP_Owned_CashRent!P$15,"Plug","OK")</f>
        <v>OK</v>
      </c>
      <c r="BC13" s="119" t="str">
        <f>IF(BC21&lt;GP_Owned_CashRent!Q$15,"Plug","OK")</f>
        <v>OK</v>
      </c>
      <c r="BD13" s="27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10"/>
      <c r="BU13" t="s">
        <v>8</v>
      </c>
      <c r="BV13" s="75">
        <v>147</v>
      </c>
      <c r="BW13" s="75">
        <v>148.4</v>
      </c>
      <c r="BX13" s="75">
        <v>143.1</v>
      </c>
      <c r="BY13" s="75">
        <v>145.4</v>
      </c>
      <c r="BZ13" s="75">
        <v>165.7</v>
      </c>
      <c r="CA13" s="75">
        <v>167.1</v>
      </c>
      <c r="CB13" s="76" t="e">
        <f>GP_Owned_CashRent!$M$5</f>
        <v>#REF!</v>
      </c>
      <c r="CC13" s="75" t="e">
        <f t="shared" si="10"/>
        <v>#REF!</v>
      </c>
      <c r="CD13" s="75" t="e">
        <f t="shared" si="10"/>
        <v>#REF!</v>
      </c>
      <c r="CE13" s="75" t="e">
        <f t="shared" si="10"/>
        <v>#REF!</v>
      </c>
      <c r="CF13" s="75" t="e">
        <f t="shared" si="10"/>
        <v>#REF!</v>
      </c>
      <c r="CG13" s="125" t="e">
        <f t="shared" si="10"/>
        <v>#REF!</v>
      </c>
    </row>
    <row r="14" spans="1:85" x14ac:dyDescent="0.25">
      <c r="A14" s="93" t="s">
        <v>63</v>
      </c>
      <c r="B14" s="80"/>
      <c r="C14" s="80"/>
      <c r="D14" s="80"/>
      <c r="E14" s="80"/>
      <c r="F14" s="80"/>
      <c r="G14" s="80"/>
      <c r="H14" s="80"/>
      <c r="I14" s="80"/>
      <c r="J14" s="256"/>
      <c r="K14" s="96">
        <f t="shared" ref="K14:P14" si="21">0.1*K18</f>
        <v>82.106700009166786</v>
      </c>
      <c r="L14" s="96">
        <f t="shared" si="21"/>
        <v>51.707359606093455</v>
      </c>
      <c r="M14" s="96">
        <f t="shared" si="21"/>
        <v>97.66455983338966</v>
      </c>
      <c r="N14" s="96">
        <f t="shared" si="21"/>
        <v>109.12897483082548</v>
      </c>
      <c r="O14" s="96">
        <f t="shared" si="21"/>
        <v>38.271540361966849</v>
      </c>
      <c r="P14" s="96">
        <f t="shared" si="21"/>
        <v>29.422505376344095</v>
      </c>
      <c r="Q14" s="96">
        <f t="shared" ref="Q14" si="22">0.1*Q18</f>
        <v>87.5</v>
      </c>
      <c r="R14" s="80"/>
      <c r="S14" s="264"/>
      <c r="T14" s="96">
        <f t="shared" ref="T14:Y14" si="23">0.1*T18</f>
        <v>66.343143106777987</v>
      </c>
      <c r="U14" s="96">
        <f t="shared" si="23"/>
        <v>66.343143106777987</v>
      </c>
      <c r="V14" s="96">
        <f t="shared" si="23"/>
        <v>0</v>
      </c>
      <c r="W14" s="96">
        <f t="shared" si="23"/>
        <v>0</v>
      </c>
      <c r="X14" s="96">
        <f t="shared" si="23"/>
        <v>0</v>
      </c>
      <c r="Y14" s="96">
        <f t="shared" si="23"/>
        <v>0</v>
      </c>
      <c r="Z14" s="96">
        <f t="shared" ref="Z14" si="24">0.1*Z18</f>
        <v>0</v>
      </c>
      <c r="AA14" s="80"/>
      <c r="AB14" s="12"/>
      <c r="AC14" s="106"/>
      <c r="AD14" s="10"/>
      <c r="AE14" s="220"/>
      <c r="AF14" s="220"/>
      <c r="AG14" s="219" t="s">
        <v>68</v>
      </c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6"/>
      <c r="AW14" s="119" t="str">
        <f>IF(AW22&lt;GP_Owned_CashRent!K$15,"Plug","OK")</f>
        <v>OK</v>
      </c>
      <c r="AX14" s="119" t="str">
        <f>IF(AX22&lt;GP_Owned_CashRent!L$15,"Plug","OK")</f>
        <v>OK</v>
      </c>
      <c r="AY14" s="119" t="str">
        <f>IF(AY22&lt;GP_Owned_CashRent!M$15,"Plug","OK")</f>
        <v>OK</v>
      </c>
      <c r="AZ14" s="119" t="str">
        <f>IF(AZ22&lt;GP_Owned_CashRent!N$15,"Plug","OK")</f>
        <v>OK</v>
      </c>
      <c r="BA14" s="119" t="str">
        <f>IF(BA22&lt;GP_Owned_CashRent!O$15,"Plug","OK")</f>
        <v>OK</v>
      </c>
      <c r="BB14" s="119" t="str">
        <f>IF(BB22&lt;GP_Owned_CashRent!P$15,"Plug","OK")</f>
        <v>OK</v>
      </c>
      <c r="BC14" s="119" t="str">
        <f>IF(BC22&lt;GP_Owned_CashRent!Q$15,"Plug","OK")</f>
        <v>OK</v>
      </c>
      <c r="BD14" s="19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10"/>
      <c r="BU14" t="s">
        <v>10</v>
      </c>
      <c r="BV14" s="75">
        <v>82.3</v>
      </c>
      <c r="BW14" s="75">
        <v>74.900000000000006</v>
      </c>
      <c r="BX14" s="75">
        <v>69.099999999999994</v>
      </c>
      <c r="BY14" s="75">
        <v>65.5</v>
      </c>
      <c r="BZ14" s="75">
        <v>81.599999999999994</v>
      </c>
      <c r="CA14" s="75">
        <v>98.8</v>
      </c>
      <c r="CB14" s="76" t="e">
        <f>GP_Owned_CashRent!$O$5</f>
        <v>#REF!</v>
      </c>
      <c r="CC14" s="75" t="e">
        <f t="shared" si="10"/>
        <v>#REF!</v>
      </c>
      <c r="CD14" s="75" t="e">
        <f t="shared" si="10"/>
        <v>#REF!</v>
      </c>
      <c r="CE14" s="75" t="e">
        <f t="shared" si="10"/>
        <v>#REF!</v>
      </c>
      <c r="CF14" s="75" t="e">
        <f t="shared" si="10"/>
        <v>#REF!</v>
      </c>
      <c r="CG14" s="125" t="e">
        <f t="shared" si="10"/>
        <v>#REF!</v>
      </c>
    </row>
    <row r="15" spans="1:85" x14ac:dyDescent="0.25">
      <c r="A15" s="93" t="s">
        <v>62</v>
      </c>
      <c r="B15" s="92">
        <v>3.7</v>
      </c>
      <c r="C15" s="92">
        <v>8.4</v>
      </c>
      <c r="D15" s="92">
        <f>(14/100)*45</f>
        <v>6.3000000000000007</v>
      </c>
      <c r="E15" s="92">
        <f>(14/100)*45</f>
        <v>6.3000000000000007</v>
      </c>
      <c r="F15" s="92">
        <v>3.95</v>
      </c>
      <c r="G15" s="92">
        <v>5.5</v>
      </c>
      <c r="H15" s="92">
        <v>535</v>
      </c>
      <c r="I15" s="80"/>
      <c r="J15" s="256"/>
      <c r="K15" s="92">
        <v>3.7</v>
      </c>
      <c r="L15" s="92">
        <v>8.4</v>
      </c>
      <c r="M15" s="92">
        <f>(14/100)*45</f>
        <v>6.3000000000000007</v>
      </c>
      <c r="N15" s="92">
        <f>(14/100)*45</f>
        <v>6.3000000000000007</v>
      </c>
      <c r="O15" s="92">
        <v>3.95</v>
      </c>
      <c r="P15" s="92">
        <v>5.5</v>
      </c>
      <c r="Q15" s="92">
        <v>325</v>
      </c>
      <c r="R15" s="80"/>
      <c r="S15" s="264"/>
      <c r="T15" s="92">
        <v>3.7</v>
      </c>
      <c r="U15" s="92">
        <v>8.4</v>
      </c>
      <c r="V15" s="92">
        <f>(14/100)*45</f>
        <v>6.3000000000000007</v>
      </c>
      <c r="W15" s="92">
        <f>(14/100)*45</f>
        <v>6.3000000000000007</v>
      </c>
      <c r="X15" s="92">
        <v>3.95</v>
      </c>
      <c r="Y15" s="92">
        <v>5.5</v>
      </c>
      <c r="Z15" s="92">
        <v>325</v>
      </c>
      <c r="AA15" s="80"/>
      <c r="AB15" s="12"/>
      <c r="AC15" s="106"/>
      <c r="AD15" s="10"/>
      <c r="AE15" s="220"/>
      <c r="AF15" s="220"/>
      <c r="AG15" s="219" t="s">
        <v>66</v>
      </c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6"/>
      <c r="AW15" s="119" t="str">
        <f>IF(AW23&lt;GP_Owned_CashRent!K$15,"Plug","OK")</f>
        <v>OK</v>
      </c>
      <c r="AX15" s="119" t="str">
        <f>IF(AX23&lt;GP_Owned_CashRent!L$15,"Plug","OK")</f>
        <v>OK</v>
      </c>
      <c r="AY15" s="119" t="str">
        <f>IF(AY23&lt;GP_Owned_CashRent!M$15,"Plug","OK")</f>
        <v>Plug</v>
      </c>
      <c r="AZ15" s="119" t="str">
        <f>IF(AZ23&lt;GP_Owned_CashRent!N$15,"Plug","OK")</f>
        <v>OK</v>
      </c>
      <c r="BA15" s="119" t="str">
        <f>IF(BA23&lt;GP_Owned_CashRent!O$15,"Plug","OK")</f>
        <v>OK</v>
      </c>
      <c r="BB15" s="119" t="str">
        <f>IF(BB23&lt;GP_Owned_CashRent!P$15,"Plug","OK")</f>
        <v>OK</v>
      </c>
      <c r="BC15" s="119" t="str">
        <f>IF(BC23&lt;GP_Owned_CashRent!Q$15,"Plug","OK")</f>
        <v>OK</v>
      </c>
      <c r="BD15" s="19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10"/>
      <c r="BU15" s="57" t="s">
        <v>11</v>
      </c>
      <c r="BV15" s="55">
        <v>52.2</v>
      </c>
      <c r="BW15" s="55">
        <v>39.9</v>
      </c>
      <c r="BX15" s="55">
        <v>40.5</v>
      </c>
      <c r="BY15" s="55">
        <v>48.6</v>
      </c>
      <c r="BZ15" s="55">
        <v>45</v>
      </c>
      <c r="CA15" s="55">
        <v>56.1</v>
      </c>
      <c r="CB15" s="56" t="e">
        <f>GP_Owned_CashRent!$P$5</f>
        <v>#REF!</v>
      </c>
      <c r="CC15" s="55" t="e">
        <f t="shared" si="10"/>
        <v>#REF!</v>
      </c>
      <c r="CD15" s="55" t="e">
        <f t="shared" si="10"/>
        <v>#REF!</v>
      </c>
      <c r="CE15" s="55" t="e">
        <f t="shared" si="10"/>
        <v>#REF!</v>
      </c>
      <c r="CF15" s="55" t="e">
        <f t="shared" si="10"/>
        <v>#REF!</v>
      </c>
      <c r="CG15" s="120" t="e">
        <f t="shared" si="10"/>
        <v>#REF!</v>
      </c>
    </row>
    <row r="16" spans="1:85" x14ac:dyDescent="0.25">
      <c r="A16" s="93" t="s">
        <v>60</v>
      </c>
      <c r="B16" s="96" t="e">
        <f t="shared" ref="B16:H16" si="25">MAX(B3,B26)</f>
        <v>#REF!</v>
      </c>
      <c r="C16" s="96" t="e">
        <f t="shared" si="25"/>
        <v>#REF!</v>
      </c>
      <c r="D16" s="96" t="e">
        <f t="shared" si="25"/>
        <v>#REF!</v>
      </c>
      <c r="E16" s="96" t="e">
        <f t="shared" si="25"/>
        <v>#REF!</v>
      </c>
      <c r="F16" s="96" t="e">
        <f t="shared" si="25"/>
        <v>#REF!</v>
      </c>
      <c r="G16" s="96" t="e">
        <f t="shared" si="25"/>
        <v>#REF!</v>
      </c>
      <c r="H16" s="96">
        <f t="shared" si="25"/>
        <v>435</v>
      </c>
      <c r="I16" s="80"/>
      <c r="J16" s="256"/>
      <c r="K16" s="80"/>
      <c r="L16" s="80"/>
      <c r="M16" s="80"/>
      <c r="N16" s="80"/>
      <c r="O16" s="80"/>
      <c r="P16" s="108"/>
      <c r="Q16" s="80"/>
      <c r="R16" s="80"/>
      <c r="S16" s="264"/>
      <c r="T16" s="80"/>
      <c r="U16" s="80"/>
      <c r="V16" s="80"/>
      <c r="W16" s="80"/>
      <c r="X16" s="80"/>
      <c r="Y16" s="80"/>
      <c r="Z16" s="80"/>
      <c r="AA16" s="80"/>
      <c r="AB16" s="12"/>
      <c r="AC16" s="106"/>
      <c r="AD16" s="10"/>
      <c r="AE16" s="220"/>
      <c r="AF16" s="220"/>
      <c r="AG16" s="221">
        <f t="shared" ref="AG16:AM16" si="26">AG11*0.9</f>
        <v>135.07697404530228</v>
      </c>
      <c r="AH16" s="221">
        <f t="shared" si="26"/>
        <v>37.25774418664362</v>
      </c>
      <c r="AI16" s="221">
        <f t="shared" si="26"/>
        <v>134.94447017203873</v>
      </c>
      <c r="AJ16" s="221">
        <f t="shared" si="26"/>
        <v>134.94447017203873</v>
      </c>
      <c r="AK16" s="221">
        <f t="shared" si="26"/>
        <v>67.205697134940849</v>
      </c>
      <c r="AL16" s="221">
        <f t="shared" si="26"/>
        <v>40.726394192005948</v>
      </c>
      <c r="AM16" s="287">
        <f t="shared" si="26"/>
        <v>2.25</v>
      </c>
      <c r="AN16" s="220"/>
      <c r="AO16" s="220"/>
      <c r="AP16" s="220"/>
      <c r="AQ16" s="220"/>
      <c r="AR16" s="220"/>
      <c r="AS16" s="220"/>
      <c r="AT16" s="220"/>
      <c r="AU16" s="220"/>
      <c r="AV16" s="6"/>
      <c r="AW16" s="119" t="str">
        <f>IF(AW24&lt;GP_Owned_CashRent!K$15,"Plug","OK")</f>
        <v>OK</v>
      </c>
      <c r="AX16" s="119" t="str">
        <f>IF(AX24&lt;GP_Owned_CashRent!L$15,"Plug","OK")</f>
        <v>OK</v>
      </c>
      <c r="AY16" s="119" t="str">
        <f>IF(AY24&lt;GP_Owned_CashRent!M$15,"Plug","OK")</f>
        <v>Plug</v>
      </c>
      <c r="AZ16" s="119" t="str">
        <f>IF(AZ24&lt;GP_Owned_CashRent!N$15,"Plug","OK")</f>
        <v>Plug</v>
      </c>
      <c r="BA16" s="119" t="str">
        <f>IF(BA24&lt;GP_Owned_CashRent!O$15,"Plug","OK")</f>
        <v>OK</v>
      </c>
      <c r="BB16" s="119" t="str">
        <f>IF(BB24&lt;GP_Owned_CashRent!P$15,"Plug","OK")</f>
        <v>OK</v>
      </c>
      <c r="BC16" s="119" t="str">
        <f>IF(BC24&lt;GP_Owned_CashRent!Q$15,"Plug","OK")</f>
        <v>OK</v>
      </c>
      <c r="BD16" s="19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10"/>
      <c r="BU16" s="121" t="s">
        <v>7</v>
      </c>
      <c r="BV16" s="55"/>
      <c r="BW16" s="55"/>
      <c r="BX16" s="55"/>
      <c r="BY16" s="55"/>
      <c r="BZ16" s="55"/>
      <c r="CA16" s="55"/>
      <c r="CB16" s="56"/>
      <c r="CC16" s="55"/>
      <c r="CD16" s="55"/>
      <c r="CE16" s="55"/>
      <c r="CF16" s="55"/>
      <c r="CG16" s="120"/>
    </row>
    <row r="17" spans="1:85" ht="14.4" x14ac:dyDescent="0.3">
      <c r="A17" s="93" t="s">
        <v>59</v>
      </c>
      <c r="B17" s="80"/>
      <c r="C17" s="80"/>
      <c r="D17" s="80"/>
      <c r="E17" s="80"/>
      <c r="F17" s="80"/>
      <c r="G17" s="108"/>
      <c r="H17" s="80"/>
      <c r="I17" s="80"/>
      <c r="J17" s="256"/>
      <c r="K17" s="107">
        <f t="shared" ref="K17:Q17" si="27">K18*0.86</f>
        <v>706.11762007883431</v>
      </c>
      <c r="L17" s="107">
        <f t="shared" si="27"/>
        <v>444.68329261240365</v>
      </c>
      <c r="M17" s="107">
        <f t="shared" si="27"/>
        <v>839.91521456715111</v>
      </c>
      <c r="N17" s="107">
        <f t="shared" si="27"/>
        <v>938.50918354509906</v>
      </c>
      <c r="O17" s="107">
        <f t="shared" si="27"/>
        <v>329.13524711291484</v>
      </c>
      <c r="P17" s="107">
        <f t="shared" si="27"/>
        <v>253.0335462365592</v>
      </c>
      <c r="Q17" s="107">
        <f t="shared" si="27"/>
        <v>752.5</v>
      </c>
      <c r="R17" s="14"/>
      <c r="S17" s="264"/>
      <c r="T17" s="107">
        <f t="shared" ref="T17:Z17" si="28">IF(T11&gt;0,T18*0.86,0)</f>
        <v>570.55103071829069</v>
      </c>
      <c r="U17" s="107">
        <f t="shared" si="28"/>
        <v>570.55103071829069</v>
      </c>
      <c r="V17" s="107">
        <f t="shared" si="28"/>
        <v>0</v>
      </c>
      <c r="W17" s="107">
        <f t="shared" si="28"/>
        <v>0</v>
      </c>
      <c r="X17" s="107">
        <f t="shared" si="28"/>
        <v>0</v>
      </c>
      <c r="Y17" s="107">
        <f t="shared" si="28"/>
        <v>0</v>
      </c>
      <c r="Z17" s="107">
        <f t="shared" si="28"/>
        <v>0</v>
      </c>
      <c r="AA17" s="14"/>
      <c r="AB17" s="12"/>
      <c r="AC17" s="106"/>
      <c r="AD17" s="10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6"/>
      <c r="AW17" s="119" t="str">
        <f>IF(AW25&lt;GP_Owned_CashRent!K$15,"Plug","OK")</f>
        <v>Plug</v>
      </c>
      <c r="AX17" s="119" t="str">
        <f>IF(AX25&lt;GP_Owned_CashRent!L$15,"Plug","OK")</f>
        <v>OK</v>
      </c>
      <c r="AY17" s="119" t="str">
        <f>IF(AY25&lt;GP_Owned_CashRent!M$15,"Plug","OK")</f>
        <v>Plug</v>
      </c>
      <c r="AZ17" s="119" t="str">
        <f>IF(AZ25&lt;GP_Owned_CashRent!N$15,"Plug","OK")</f>
        <v>OK</v>
      </c>
      <c r="BA17" s="119" t="str">
        <f>IF(BA25&lt;GP_Owned_CashRent!O$15,"Plug","OK")</f>
        <v>Plug</v>
      </c>
      <c r="BB17" s="119" t="str">
        <f>IF(BB25&lt;GP_Owned_CashRent!P$15,"Plug","OK")</f>
        <v>Plug</v>
      </c>
      <c r="BC17" s="119" t="str">
        <f>IF(BC25&lt;GP_Owned_CashRent!Q$15,"Plug","OK")</f>
        <v>OK</v>
      </c>
      <c r="BD17" s="19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10"/>
      <c r="BU17" s="118" t="s">
        <v>64</v>
      </c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</row>
    <row r="18" spans="1:85" x14ac:dyDescent="0.25">
      <c r="A18" s="93" t="s">
        <v>58</v>
      </c>
      <c r="B18" s="80"/>
      <c r="C18" s="80"/>
      <c r="D18" s="80"/>
      <c r="E18" s="80"/>
      <c r="F18" s="80"/>
      <c r="G18" s="108"/>
      <c r="H18" s="80"/>
      <c r="I18" s="80"/>
      <c r="J18" s="256"/>
      <c r="K18" s="107">
        <f t="shared" ref="K18:P18" si="29">K6*(MAX(K7,K15))</f>
        <v>821.06700009166786</v>
      </c>
      <c r="L18" s="107">
        <f t="shared" si="29"/>
        <v>517.07359606093451</v>
      </c>
      <c r="M18" s="107">
        <f t="shared" si="29"/>
        <v>976.6455983338966</v>
      </c>
      <c r="N18" s="107">
        <f t="shared" si="29"/>
        <v>1091.2897483082547</v>
      </c>
      <c r="O18" s="107">
        <f t="shared" si="29"/>
        <v>382.71540361966845</v>
      </c>
      <c r="P18" s="107">
        <f t="shared" si="29"/>
        <v>294.22505376344094</v>
      </c>
      <c r="Q18" s="107">
        <f t="shared" ref="Q18" si="30">Q6*(MAX(Q7,Q15))</f>
        <v>875</v>
      </c>
      <c r="R18" s="14"/>
      <c r="S18" s="264"/>
      <c r="T18" s="107">
        <f>IF(T11&gt;0,SUM($T19:$Z19),0)</f>
        <v>663.43143106777984</v>
      </c>
      <c r="U18" s="107">
        <f t="shared" ref="U18:Z18" si="31">IF(U11&gt;0,SUM($T19:$Z19),0)</f>
        <v>663.43143106777984</v>
      </c>
      <c r="V18" s="107">
        <f t="shared" si="31"/>
        <v>0</v>
      </c>
      <c r="W18" s="107">
        <f t="shared" si="31"/>
        <v>0</v>
      </c>
      <c r="X18" s="107">
        <f t="shared" si="31"/>
        <v>0</v>
      </c>
      <c r="Y18" s="107">
        <f t="shared" si="31"/>
        <v>0</v>
      </c>
      <c r="Z18" s="107">
        <f t="shared" si="31"/>
        <v>0</v>
      </c>
      <c r="AA18" s="14"/>
      <c r="AB18" s="12"/>
      <c r="AC18" s="106"/>
      <c r="AD18" s="10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6"/>
      <c r="AW18" s="116" t="str">
        <f>IF(AW26&lt;GP_Owned_CashRent!K$15,"Plug","OK")</f>
        <v>OK</v>
      </c>
      <c r="AX18" s="116" t="str">
        <f>IF(AX26&lt;GP_Owned_CashRent!L$15,"Plug","OK")</f>
        <v>OK</v>
      </c>
      <c r="AY18" s="116" t="str">
        <f>IF(AY26&lt;GP_Owned_CashRent!M$15,"Plug","OK")</f>
        <v>OK</v>
      </c>
      <c r="AZ18" s="116" t="str">
        <f>IF(AZ26&lt;GP_Owned_CashRent!N$15,"Plug","OK")</f>
        <v>OK</v>
      </c>
      <c r="BA18" s="116" t="str">
        <f>IF(BA26&lt;GP_Owned_CashRent!O$15,"Plug","OK")</f>
        <v>Plug</v>
      </c>
      <c r="BB18" s="116" t="str">
        <f>IF(BB26&lt;GP_Owned_CashRent!P$15,"Plug","OK")</f>
        <v>OK</v>
      </c>
      <c r="BC18" s="116" t="str">
        <f>IF(BC26&lt;GP_Owned_CashRent!Q$15,"Plug","OK")</f>
        <v>OK</v>
      </c>
      <c r="BD18" s="19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10"/>
      <c r="BU18" s="99" t="s">
        <v>61</v>
      </c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</row>
    <row r="19" spans="1:85" ht="18" x14ac:dyDescent="0.35">
      <c r="A19" s="93" t="s">
        <v>57</v>
      </c>
      <c r="B19" s="80"/>
      <c r="C19" s="80"/>
      <c r="D19" s="80"/>
      <c r="E19" s="80"/>
      <c r="F19" s="80"/>
      <c r="G19" s="108"/>
      <c r="H19" s="80"/>
      <c r="I19" s="80"/>
      <c r="J19" s="256"/>
      <c r="K19" s="14"/>
      <c r="L19" s="14"/>
      <c r="M19" s="14"/>
      <c r="N19" s="14"/>
      <c r="O19" s="14"/>
      <c r="P19" s="14"/>
      <c r="Q19" s="14"/>
      <c r="R19" s="14"/>
      <c r="S19" s="264"/>
      <c r="T19" s="107">
        <f>GP_Owned_CashRent!BE10*(GP_Owned_CashRent!T11/SUM(GP_Owned_CashRent!$T11:$Z11))</f>
        <v>404.13444206429796</v>
      </c>
      <c r="U19" s="107">
        <f>GP_Owned_CashRent!BF10*(GP_Owned_CashRent!U11/SUM(GP_Owned_CashRent!$T11:$Z11))</f>
        <v>259.29698900348188</v>
      </c>
      <c r="V19" s="107">
        <f>GP_Owned_CashRent!BG10*(GP_Owned_CashRent!V11/SUM(GP_Owned_CashRent!$T11:$Z11))</f>
        <v>0</v>
      </c>
      <c r="W19" s="107">
        <f>GP_Owned_CashRent!BH10*(GP_Owned_CashRent!W11/SUM(GP_Owned_CashRent!$T11:$Z11))</f>
        <v>0</v>
      </c>
      <c r="X19" s="107">
        <f>GP_Owned_CashRent!BI10*(GP_Owned_CashRent!X11/SUM(GP_Owned_CashRent!$T11:$Z11))</f>
        <v>0</v>
      </c>
      <c r="Y19" s="107">
        <f>GP_Owned_CashRent!BJ10*(GP_Owned_CashRent!Y11/SUM(GP_Owned_CashRent!$T11:$Z11))</f>
        <v>0</v>
      </c>
      <c r="Z19" s="107">
        <f>GP_Owned_CashRent!BK10*(GP_Owned_CashRent!Z11/SUM(GP_Owned_CashRent!$T11:$Z11))</f>
        <v>0</v>
      </c>
      <c r="AA19" s="14"/>
      <c r="AB19" s="12"/>
      <c r="AC19" s="106"/>
      <c r="AD19" s="10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6"/>
      <c r="AW19" s="115" t="s">
        <v>61</v>
      </c>
      <c r="AX19" s="114"/>
      <c r="AY19" s="114"/>
      <c r="AZ19" s="114"/>
      <c r="BA19" s="114"/>
      <c r="BB19" s="114"/>
      <c r="BC19" s="114"/>
      <c r="BD19" s="19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10"/>
      <c r="BU19" t="s">
        <v>6</v>
      </c>
      <c r="BV19" s="11"/>
      <c r="BW19" s="11"/>
      <c r="BX19" s="11"/>
      <c r="BY19" s="11"/>
      <c r="BZ19" s="11"/>
      <c r="CB19" s="111">
        <f t="shared" ref="CB19:CF23" si="32">(SUM(BW4:CA4)-MIN(BW4:CA4)-MAX(BW4:CA4))/3</f>
        <v>5.3</v>
      </c>
      <c r="CC19" s="11" t="e">
        <f t="shared" si="32"/>
        <v>#REF!</v>
      </c>
      <c r="CD19" s="11" t="e">
        <f t="shared" si="32"/>
        <v>#REF!</v>
      </c>
      <c r="CE19" s="11" t="e">
        <f t="shared" si="32"/>
        <v>#REF!</v>
      </c>
      <c r="CF19" s="11" t="e">
        <f t="shared" si="32"/>
        <v>#REF!</v>
      </c>
      <c r="CG19" s="74"/>
    </row>
    <row r="20" spans="1:85" x14ac:dyDescent="0.25">
      <c r="A20" s="93" t="s">
        <v>56</v>
      </c>
      <c r="B20" s="80"/>
      <c r="C20" s="80"/>
      <c r="D20" s="80"/>
      <c r="E20" s="80"/>
      <c r="F20" s="80"/>
      <c r="G20" s="108"/>
      <c r="H20" s="80"/>
      <c r="I20" s="80"/>
      <c r="J20" s="256"/>
      <c r="K20" s="107" t="e">
        <f t="shared" ref="K20:P20" si="33">K5*(MAX(K3,K26))</f>
        <v>#REF!</v>
      </c>
      <c r="L20" s="107" t="e">
        <f t="shared" si="33"/>
        <v>#REF!</v>
      </c>
      <c r="M20" s="107" t="e">
        <f t="shared" si="33"/>
        <v>#REF!</v>
      </c>
      <c r="N20" s="107" t="e">
        <f t="shared" si="33"/>
        <v>#REF!</v>
      </c>
      <c r="O20" s="107" t="e">
        <f t="shared" si="33"/>
        <v>#REF!</v>
      </c>
      <c r="P20" s="107" t="e">
        <f t="shared" si="33"/>
        <v>#REF!</v>
      </c>
      <c r="Q20" s="107">
        <f t="shared" ref="Q20" si="34">Q5*(MAX(Q3,Q26))</f>
        <v>1087.5</v>
      </c>
      <c r="R20" s="14"/>
      <c r="S20" s="264"/>
      <c r="T20" s="107" t="e">
        <f>IF(T11&gt;0,SUM($T21:$Z21)/SUM($T11:$Z11),0)</f>
        <v>#REF!</v>
      </c>
      <c r="U20" s="107" t="e">
        <f t="shared" ref="U20:Z20" si="35">IF(U11&gt;0,SUM($T21:$Z21)/SUM($T11:$Z11),0)</f>
        <v>#REF!</v>
      </c>
      <c r="V20" s="107">
        <f t="shared" si="35"/>
        <v>0</v>
      </c>
      <c r="W20" s="107">
        <f t="shared" si="35"/>
        <v>0</v>
      </c>
      <c r="X20" s="107">
        <f t="shared" si="35"/>
        <v>0</v>
      </c>
      <c r="Y20" s="107">
        <f t="shared" si="35"/>
        <v>0</v>
      </c>
      <c r="Z20" s="107">
        <f t="shared" si="35"/>
        <v>0</v>
      </c>
      <c r="AA20" s="14"/>
      <c r="AB20" s="12"/>
      <c r="AC20" s="106"/>
      <c r="AD20" s="10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113" t="s">
        <v>47</v>
      </c>
      <c r="AV20" s="30"/>
      <c r="AW20" s="21" t="s">
        <v>6</v>
      </c>
      <c r="AX20" s="21" t="s">
        <v>9</v>
      </c>
      <c r="AY20" s="21" t="s">
        <v>46</v>
      </c>
      <c r="AZ20" s="51" t="s">
        <v>97</v>
      </c>
      <c r="BA20" s="21" t="s">
        <v>10</v>
      </c>
      <c r="BB20" s="21" t="s">
        <v>11</v>
      </c>
      <c r="BC20" s="59" t="s">
        <v>98</v>
      </c>
      <c r="BD20" s="15"/>
      <c r="BE20" s="4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10"/>
      <c r="BU20" t="s">
        <v>9</v>
      </c>
      <c r="BV20" s="11"/>
      <c r="BW20" s="11"/>
      <c r="BX20" s="11"/>
      <c r="BY20" s="11"/>
      <c r="BZ20" s="11"/>
      <c r="CB20" s="111">
        <f t="shared" si="32"/>
        <v>12.166666666666664</v>
      </c>
      <c r="CC20" s="11" t="e">
        <f t="shared" si="32"/>
        <v>#REF!</v>
      </c>
      <c r="CD20" s="11" t="e">
        <f t="shared" si="32"/>
        <v>#REF!</v>
      </c>
      <c r="CE20" s="11" t="e">
        <f t="shared" si="32"/>
        <v>#REF!</v>
      </c>
      <c r="CF20" s="11" t="e">
        <f t="shared" si="32"/>
        <v>#REF!</v>
      </c>
      <c r="CG20" s="74"/>
    </row>
    <row r="21" spans="1:85" x14ac:dyDescent="0.25">
      <c r="A21" s="90" t="s">
        <v>55</v>
      </c>
      <c r="B21" s="103"/>
      <c r="C21" s="103"/>
      <c r="D21" s="103"/>
      <c r="E21" s="103"/>
      <c r="F21" s="103"/>
      <c r="G21" s="103"/>
      <c r="H21" s="103"/>
      <c r="I21" s="103"/>
      <c r="J21" s="257"/>
      <c r="K21" s="102"/>
      <c r="L21" s="102"/>
      <c r="M21" s="102"/>
      <c r="N21" s="102"/>
      <c r="O21" s="102"/>
      <c r="P21" s="102"/>
      <c r="Q21" s="102"/>
      <c r="R21" s="102"/>
      <c r="S21" s="63"/>
      <c r="T21" s="101" t="e">
        <f t="shared" ref="T21:Z21" si="36">T4*T11*(MAX(T3,T26))</f>
        <v>#REF!</v>
      </c>
      <c r="U21" s="101" t="e">
        <f t="shared" si="36"/>
        <v>#REF!</v>
      </c>
      <c r="V21" s="101" t="e">
        <f t="shared" si="36"/>
        <v>#REF!</v>
      </c>
      <c r="W21" s="101" t="e">
        <f t="shared" si="36"/>
        <v>#REF!</v>
      </c>
      <c r="X21" s="101" t="e">
        <f t="shared" si="36"/>
        <v>#REF!</v>
      </c>
      <c r="Y21" s="101" t="e">
        <f t="shared" si="36"/>
        <v>#REF!</v>
      </c>
      <c r="Z21" s="101">
        <f t="shared" si="36"/>
        <v>0</v>
      </c>
      <c r="AA21" s="293"/>
      <c r="AB21" s="87"/>
      <c r="AC21" s="100"/>
      <c r="AD21" s="10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49">
        <v>2013</v>
      </c>
      <c r="AV21" s="48"/>
      <c r="AW21" s="112">
        <v>4.5</v>
      </c>
      <c r="AX21" s="112">
        <v>12.7</v>
      </c>
      <c r="AY21" s="112">
        <v>6.5880000000000001</v>
      </c>
      <c r="AZ21" s="3">
        <v>7.59</v>
      </c>
      <c r="BA21" s="112">
        <v>4.2560000000000002</v>
      </c>
      <c r="BB21" s="112">
        <v>6.8</v>
      </c>
      <c r="BC21" s="3">
        <v>350</v>
      </c>
      <c r="BD21" s="27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10"/>
      <c r="BU21" t="s">
        <v>8</v>
      </c>
      <c r="BV21" s="11"/>
      <c r="BW21" s="11"/>
      <c r="BX21" s="11"/>
      <c r="BY21" s="11"/>
      <c r="BZ21" s="11"/>
      <c r="CB21" s="111">
        <f t="shared" si="32"/>
        <v>6.3766666666666652</v>
      </c>
      <c r="CC21" s="11" t="e">
        <f t="shared" si="32"/>
        <v>#REF!</v>
      </c>
      <c r="CD21" s="11" t="e">
        <f t="shared" si="32"/>
        <v>#REF!</v>
      </c>
      <c r="CE21" s="11" t="e">
        <f t="shared" si="32"/>
        <v>#REF!</v>
      </c>
      <c r="CF21" s="11" t="e">
        <f t="shared" si="32"/>
        <v>#REF!</v>
      </c>
      <c r="CG21" s="74"/>
    </row>
    <row r="22" spans="1:85" x14ac:dyDescent="0.25">
      <c r="A22" s="124" t="s">
        <v>67</v>
      </c>
      <c r="B22" s="123" t="s">
        <v>40</v>
      </c>
      <c r="C22" s="123" t="s">
        <v>40</v>
      </c>
      <c r="D22" s="123" t="s">
        <v>40</v>
      </c>
      <c r="E22" s="123" t="s">
        <v>40</v>
      </c>
      <c r="F22" s="123" t="s">
        <v>40</v>
      </c>
      <c r="G22" s="123" t="s">
        <v>40</v>
      </c>
      <c r="H22" s="123" t="s">
        <v>40</v>
      </c>
      <c r="I22" s="295" t="s">
        <v>40</v>
      </c>
      <c r="J22" s="258"/>
      <c r="K22" s="123" t="s">
        <v>40</v>
      </c>
      <c r="L22" s="123" t="s">
        <v>40</v>
      </c>
      <c r="M22" s="123" t="s">
        <v>40</v>
      </c>
      <c r="N22" s="123" t="s">
        <v>40</v>
      </c>
      <c r="O22" s="123" t="s">
        <v>40</v>
      </c>
      <c r="P22" s="123" t="s">
        <v>40</v>
      </c>
      <c r="Q22" s="123" t="s">
        <v>40</v>
      </c>
      <c r="R22" s="295" t="s">
        <v>40</v>
      </c>
      <c r="S22" s="264"/>
      <c r="T22" s="123" t="s">
        <v>40</v>
      </c>
      <c r="U22" s="123" t="s">
        <v>40</v>
      </c>
      <c r="V22" s="123" t="s">
        <v>40</v>
      </c>
      <c r="W22" s="123" t="s">
        <v>40</v>
      </c>
      <c r="X22" s="123" t="s">
        <v>40</v>
      </c>
      <c r="Y22" s="123" t="s">
        <v>40</v>
      </c>
      <c r="Z22" s="123" t="s">
        <v>40</v>
      </c>
      <c r="AA22" s="295" t="s">
        <v>40</v>
      </c>
      <c r="AB22" s="12"/>
      <c r="AC22" s="122">
        <f>(0.09*597)*(AC8/597)*(0.6*AC9)*AC10</f>
        <v>0</v>
      </c>
      <c r="AD22" s="10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42">
        <v>2012</v>
      </c>
      <c r="AV22" s="5"/>
      <c r="AW22" s="3">
        <v>6.89</v>
      </c>
      <c r="AX22" s="3">
        <v>14.4</v>
      </c>
      <c r="AY22" s="3">
        <v>6.5249999999999995</v>
      </c>
      <c r="AZ22" s="3">
        <v>7.53</v>
      </c>
      <c r="BA22" s="3">
        <v>6.3280000000000003</v>
      </c>
      <c r="BB22" s="3">
        <v>7.77</v>
      </c>
      <c r="BC22" s="3">
        <v>350</v>
      </c>
      <c r="BD22" s="19"/>
      <c r="BE22" s="4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10"/>
      <c r="BU22" t="s">
        <v>10</v>
      </c>
      <c r="BV22" s="11"/>
      <c r="BW22" s="11"/>
      <c r="BX22" s="11"/>
      <c r="BY22" s="11"/>
      <c r="BZ22" s="11"/>
      <c r="CB22" s="111">
        <f t="shared" si="32"/>
        <v>5.089999999999999</v>
      </c>
      <c r="CC22" s="11" t="e">
        <f t="shared" si="32"/>
        <v>#REF!</v>
      </c>
      <c r="CD22" s="11" t="e">
        <f t="shared" si="32"/>
        <v>#REF!</v>
      </c>
      <c r="CE22" s="11" t="e">
        <f t="shared" si="32"/>
        <v>#REF!</v>
      </c>
      <c r="CF22" s="11" t="e">
        <f t="shared" si="32"/>
        <v>#REF!</v>
      </c>
      <c r="CG22" s="74"/>
    </row>
    <row r="23" spans="1:85" x14ac:dyDescent="0.25">
      <c r="A23" s="124" t="s">
        <v>70</v>
      </c>
      <c r="B23" s="127" t="e">
        <f t="shared" ref="B23:H23" si="37">B25*B4*B11*B10</f>
        <v>#REF!</v>
      </c>
      <c r="C23" s="127" t="e">
        <f t="shared" si="37"/>
        <v>#REF!</v>
      </c>
      <c r="D23" s="127" t="e">
        <f t="shared" si="37"/>
        <v>#REF!</v>
      </c>
      <c r="E23" s="127" t="e">
        <f t="shared" si="37"/>
        <v>#REF!</v>
      </c>
      <c r="F23" s="127" t="e">
        <f t="shared" si="37"/>
        <v>#REF!</v>
      </c>
      <c r="G23" s="127" t="e">
        <f t="shared" si="37"/>
        <v>#REF!</v>
      </c>
      <c r="H23" s="127">
        <f t="shared" si="37"/>
        <v>0</v>
      </c>
      <c r="I23" s="127" t="e">
        <f>SUM(B23:H23)</f>
        <v>#REF!</v>
      </c>
      <c r="J23" s="255"/>
      <c r="K23" s="127" t="e">
        <f t="shared" ref="K23:P23" si="38">K25*K4*K11*K10</f>
        <v>#REF!</v>
      </c>
      <c r="L23" s="127" t="e">
        <f t="shared" si="38"/>
        <v>#REF!</v>
      </c>
      <c r="M23" s="127" t="e">
        <f t="shared" si="38"/>
        <v>#REF!</v>
      </c>
      <c r="N23" s="127" t="e">
        <f t="shared" si="38"/>
        <v>#REF!</v>
      </c>
      <c r="O23" s="127" t="e">
        <f t="shared" si="38"/>
        <v>#REF!</v>
      </c>
      <c r="P23" s="127" t="e">
        <f t="shared" si="38"/>
        <v>#REF!</v>
      </c>
      <c r="Q23" s="127">
        <f t="shared" ref="Q23" si="39">Q25*Q4*Q11*Q10</f>
        <v>0</v>
      </c>
      <c r="R23" s="127" t="e">
        <f>SUM(K23:Q23)</f>
        <v>#REF!</v>
      </c>
      <c r="S23" s="264"/>
      <c r="T23" s="127" t="e">
        <f t="shared" ref="T23:Z23" si="40">T25*T4*T11*T10</f>
        <v>#REF!</v>
      </c>
      <c r="U23" s="127" t="e">
        <f t="shared" si="40"/>
        <v>#REF!</v>
      </c>
      <c r="V23" s="127" t="e">
        <f t="shared" si="40"/>
        <v>#REF!</v>
      </c>
      <c r="W23" s="127" t="e">
        <f t="shared" si="40"/>
        <v>#REF!</v>
      </c>
      <c r="X23" s="127" t="e">
        <f t="shared" si="40"/>
        <v>#REF!</v>
      </c>
      <c r="Y23" s="127" t="e">
        <f t="shared" si="40"/>
        <v>#REF!</v>
      </c>
      <c r="Z23" s="127">
        <f t="shared" si="40"/>
        <v>0</v>
      </c>
      <c r="AA23" s="127" t="e">
        <f>SUM(T23:Z23)</f>
        <v>#REF!</v>
      </c>
      <c r="AB23" s="12"/>
      <c r="AC23" s="129">
        <f>AC25*AC4*AC11*AC10</f>
        <v>0</v>
      </c>
      <c r="AD23" s="10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42">
        <v>2011</v>
      </c>
      <c r="AV23" s="5"/>
      <c r="AW23" s="3">
        <v>6.22</v>
      </c>
      <c r="AX23" s="3">
        <v>12.5</v>
      </c>
      <c r="AY23" s="3">
        <v>6.03</v>
      </c>
      <c r="AZ23" s="3">
        <v>7.03</v>
      </c>
      <c r="BA23" s="3">
        <v>5.992</v>
      </c>
      <c r="BB23" s="3">
        <v>7.24</v>
      </c>
      <c r="BC23" s="3">
        <v>350</v>
      </c>
      <c r="BD23" s="19"/>
      <c r="BE23" s="4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10"/>
      <c r="BU23" s="57" t="s">
        <v>11</v>
      </c>
      <c r="BV23" s="109"/>
      <c r="BW23" s="109"/>
      <c r="BX23" s="109"/>
      <c r="BY23" s="109"/>
      <c r="BZ23" s="109"/>
      <c r="CA23" s="57"/>
      <c r="CB23" s="110">
        <f t="shared" si="32"/>
        <v>6.5799999999999992</v>
      </c>
      <c r="CC23" s="109" t="e">
        <f t="shared" si="32"/>
        <v>#REF!</v>
      </c>
      <c r="CD23" s="109" t="e">
        <f t="shared" si="32"/>
        <v>#REF!</v>
      </c>
      <c r="CE23" s="109" t="e">
        <f t="shared" si="32"/>
        <v>#REF!</v>
      </c>
      <c r="CF23" s="109" t="e">
        <f t="shared" si="32"/>
        <v>#REF!</v>
      </c>
      <c r="CG23" s="54"/>
    </row>
    <row r="24" spans="1:85" x14ac:dyDescent="0.25">
      <c r="A24" s="139" t="s">
        <v>14</v>
      </c>
      <c r="B24" s="179" t="e">
        <f t="shared" ref="B24:H24" si="41">B3+B28</f>
        <v>#REF!</v>
      </c>
      <c r="C24" s="179" t="e">
        <f t="shared" si="41"/>
        <v>#REF!</v>
      </c>
      <c r="D24" s="179" t="e">
        <f t="shared" si="41"/>
        <v>#REF!</v>
      </c>
      <c r="E24" s="179" t="e">
        <f t="shared" si="41"/>
        <v>#REF!</v>
      </c>
      <c r="F24" s="179" t="e">
        <f t="shared" si="41"/>
        <v>#REF!</v>
      </c>
      <c r="G24" s="179" t="e">
        <f t="shared" si="41"/>
        <v>#REF!</v>
      </c>
      <c r="H24" s="179">
        <f t="shared" si="41"/>
        <v>435</v>
      </c>
      <c r="I24" s="290"/>
      <c r="J24" s="259"/>
      <c r="K24" s="179" t="e">
        <f t="shared" ref="K24:Q24" si="42">K3+K28</f>
        <v>#REF!</v>
      </c>
      <c r="L24" s="179" t="e">
        <f t="shared" si="42"/>
        <v>#REF!</v>
      </c>
      <c r="M24" s="179" t="e">
        <f t="shared" si="42"/>
        <v>#REF!</v>
      </c>
      <c r="N24" s="179" t="e">
        <f t="shared" si="42"/>
        <v>#REF!</v>
      </c>
      <c r="O24" s="179" t="e">
        <f t="shared" si="42"/>
        <v>#REF!</v>
      </c>
      <c r="P24" s="179" t="e">
        <f t="shared" si="42"/>
        <v>#REF!</v>
      </c>
      <c r="Q24" s="179">
        <f t="shared" si="42"/>
        <v>435</v>
      </c>
      <c r="R24" s="290"/>
      <c r="S24" s="254"/>
      <c r="T24" s="179" t="e">
        <f t="shared" ref="T24:Y24" si="43">T3+T28</f>
        <v>#REF!</v>
      </c>
      <c r="U24" s="179" t="e">
        <f t="shared" si="43"/>
        <v>#REF!</v>
      </c>
      <c r="V24" s="179" t="e">
        <f t="shared" si="43"/>
        <v>#REF!</v>
      </c>
      <c r="W24" s="179" t="e">
        <f t="shared" si="43"/>
        <v>#REF!</v>
      </c>
      <c r="X24" s="179" t="e">
        <f t="shared" si="43"/>
        <v>#REF!</v>
      </c>
      <c r="Y24" s="179" t="e">
        <f t="shared" si="43"/>
        <v>#REF!</v>
      </c>
      <c r="Z24" s="179">
        <v>435</v>
      </c>
      <c r="AA24" s="294"/>
      <c r="AB24" s="12"/>
      <c r="AC24" s="178">
        <f>AC3+AC28</f>
        <v>0.66800000000000004</v>
      </c>
      <c r="AD24" s="10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42">
        <v>2010</v>
      </c>
      <c r="AV24" s="5"/>
      <c r="AW24" s="41">
        <v>5.18</v>
      </c>
      <c r="AX24" s="41">
        <v>11.3</v>
      </c>
      <c r="AY24" s="41">
        <v>4.95</v>
      </c>
      <c r="AZ24" s="41">
        <v>5.95</v>
      </c>
      <c r="BA24" s="41">
        <v>5.0176000000000007</v>
      </c>
      <c r="BB24" s="41">
        <v>5.7</v>
      </c>
      <c r="BC24" s="3">
        <v>350</v>
      </c>
      <c r="BD24" s="19"/>
      <c r="BE24" s="4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10"/>
      <c r="BU24" s="46" t="s">
        <v>7</v>
      </c>
      <c r="BV24" s="104"/>
      <c r="BW24" s="104"/>
      <c r="BX24" s="104"/>
      <c r="BY24" s="104"/>
      <c r="BZ24" s="104"/>
      <c r="CA24" s="46"/>
      <c r="CB24" s="105"/>
      <c r="CC24" s="104"/>
      <c r="CD24" s="104"/>
      <c r="CE24" s="104"/>
      <c r="CF24" s="104"/>
      <c r="CG24" s="43"/>
    </row>
    <row r="25" spans="1:85" x14ac:dyDescent="0.25">
      <c r="A25" s="93" t="s">
        <v>53</v>
      </c>
      <c r="B25" s="96" t="e">
        <f>IF(B24&lt;B26,B26-B24,0)</f>
        <v>#REF!</v>
      </c>
      <c r="C25" s="96" t="e">
        <f>IF(C24&lt;C26,C26-C24,0)</f>
        <v>#REF!</v>
      </c>
      <c r="D25" s="96" t="e">
        <f>IF((D24-D27)&lt;D26,D26-(D24-D27),0)</f>
        <v>#REF!</v>
      </c>
      <c r="E25" s="96" t="e">
        <f>IF((E24-E27)&lt;E26,E26-(E24-E27),0)</f>
        <v>#REF!</v>
      </c>
      <c r="F25" s="96" t="e">
        <f>IF(F24&lt;F26,F26-F24,0)</f>
        <v>#REF!</v>
      </c>
      <c r="G25" s="96" t="e">
        <f>IF(G24&lt;G26,G26-G24,0)</f>
        <v>#REF!</v>
      </c>
      <c r="H25" s="96">
        <f>IF(H24&lt;H26,H26-H24,0)</f>
        <v>0</v>
      </c>
      <c r="I25" s="80"/>
      <c r="J25" s="256"/>
      <c r="K25" s="96" t="e">
        <f>IF(K24&lt;K26,K26-K24,0)</f>
        <v>#REF!</v>
      </c>
      <c r="L25" s="96" t="e">
        <f>IF(L24&lt;L26,L26-L24,0)</f>
        <v>#REF!</v>
      </c>
      <c r="M25" s="96" t="e">
        <f>IF((M24-M27)&lt;M26,M26-(M24-M27),0)</f>
        <v>#REF!</v>
      </c>
      <c r="N25" s="96" t="e">
        <f>IF((N24-N27)&lt;N26,N26-(N24-N27),0)</f>
        <v>#REF!</v>
      </c>
      <c r="O25" s="96" t="e">
        <f>IF(O24&lt;O26,O26-O24,0)</f>
        <v>#REF!</v>
      </c>
      <c r="P25" s="96" t="e">
        <f>IF(P24&lt;P26,P26-P24,0)</f>
        <v>#REF!</v>
      </c>
      <c r="Q25" s="96">
        <f>IF(Q24&lt;Q26,Q26-Q24,0)</f>
        <v>0</v>
      </c>
      <c r="R25" s="80"/>
      <c r="S25" s="264"/>
      <c r="T25" s="96" t="e">
        <f>IF(T24&lt;T26,T26-T24,0)</f>
        <v>#REF!</v>
      </c>
      <c r="U25" s="96" t="e">
        <f>IF(U24&lt;U26,U26-U24,0)</f>
        <v>#REF!</v>
      </c>
      <c r="V25" s="96" t="e">
        <f>IF((V24-V27)&lt;V26,V26-(V24-V27),0)</f>
        <v>#REF!</v>
      </c>
      <c r="W25" s="96" t="e">
        <f>IF((W24-W27)&lt;W26,W26-(W24-W27),0)</f>
        <v>#REF!</v>
      </c>
      <c r="X25" s="96" t="e">
        <f>IF(X24&lt;X26,X26-X24,0)</f>
        <v>#REF!</v>
      </c>
      <c r="Y25" s="96" t="e">
        <f>IF(Y24&lt;Y26,Y26-Y24,0)</f>
        <v>#REF!</v>
      </c>
      <c r="Z25" s="96"/>
      <c r="AA25" s="80"/>
      <c r="AB25" s="12"/>
      <c r="AC25" s="95">
        <f>IF((AC24-AC27)&lt;AC26,AC26-(AC24-AC27),0)</f>
        <v>0</v>
      </c>
      <c r="AD25" s="10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42">
        <v>2009</v>
      </c>
      <c r="AV25" s="5"/>
      <c r="AW25" s="41">
        <v>3.55</v>
      </c>
      <c r="AX25" s="41">
        <v>9.59</v>
      </c>
      <c r="AY25" s="41">
        <v>5.8049999999999997</v>
      </c>
      <c r="AZ25" s="41">
        <v>6.81</v>
      </c>
      <c r="BA25" s="41">
        <v>3.22</v>
      </c>
      <c r="BB25" s="41">
        <v>4.87</v>
      </c>
      <c r="BC25" s="3">
        <v>350</v>
      </c>
      <c r="BD25" s="19"/>
      <c r="BE25" s="4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10"/>
      <c r="BU25" s="99" t="s">
        <v>54</v>
      </c>
      <c r="BV25" s="97"/>
      <c r="BW25" s="97"/>
      <c r="BX25" s="97"/>
      <c r="BY25" s="97"/>
      <c r="BZ25" s="97"/>
      <c r="CA25" s="97"/>
      <c r="CB25" s="98"/>
      <c r="CC25" s="97"/>
      <c r="CD25" s="97"/>
      <c r="CE25" s="97"/>
      <c r="CF25" s="97"/>
      <c r="CG25" s="97"/>
    </row>
    <row r="26" spans="1:85" x14ac:dyDescent="0.25">
      <c r="A26" s="93" t="s">
        <v>52</v>
      </c>
      <c r="B26" s="92">
        <v>1.95</v>
      </c>
      <c r="C26" s="92">
        <v>5</v>
      </c>
      <c r="D26" s="92">
        <f>(6.5/100)*45</f>
        <v>2.9250000000000003</v>
      </c>
      <c r="E26" s="92">
        <f>(6.5/100)*45</f>
        <v>2.9250000000000003</v>
      </c>
      <c r="F26" s="92">
        <v>1.95</v>
      </c>
      <c r="G26" s="92">
        <v>2.94</v>
      </c>
      <c r="H26" s="92">
        <v>355</v>
      </c>
      <c r="I26" s="80"/>
      <c r="J26" s="256"/>
      <c r="K26" s="92">
        <v>1.95</v>
      </c>
      <c r="L26" s="92">
        <v>5</v>
      </c>
      <c r="M26" s="92">
        <f>(6.5/100)*45</f>
        <v>2.9250000000000003</v>
      </c>
      <c r="N26" s="92">
        <f>(6.5/100)*45</f>
        <v>2.9250000000000003</v>
      </c>
      <c r="O26" s="92">
        <v>1.95</v>
      </c>
      <c r="P26" s="92">
        <v>2.94</v>
      </c>
      <c r="Q26" s="92">
        <v>355</v>
      </c>
      <c r="R26" s="80"/>
      <c r="S26" s="277"/>
      <c r="T26" s="92">
        <v>1.95</v>
      </c>
      <c r="U26" s="92">
        <v>5</v>
      </c>
      <c r="V26" s="92">
        <f>(6.5/100)*45</f>
        <v>2.9250000000000003</v>
      </c>
      <c r="W26" s="92">
        <f>(6.5/100)*45</f>
        <v>2.9250000000000003</v>
      </c>
      <c r="X26" s="92">
        <v>1.95</v>
      </c>
      <c r="Y26" s="92">
        <v>2.94</v>
      </c>
      <c r="Z26" s="92">
        <v>355</v>
      </c>
      <c r="AA26" s="80"/>
      <c r="AB26" s="12"/>
      <c r="AC26" s="91">
        <v>0.52</v>
      </c>
      <c r="AD26" s="10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94">
        <v>2008</v>
      </c>
      <c r="AV26" s="39"/>
      <c r="AW26" s="38">
        <v>4.0599999999999996</v>
      </c>
      <c r="AX26" s="38">
        <v>9.9700000000000006</v>
      </c>
      <c r="AY26" s="38">
        <v>6.7050000000000001</v>
      </c>
      <c r="AZ26" s="38">
        <v>7.71</v>
      </c>
      <c r="BA26" s="38">
        <v>3.2031999999999998</v>
      </c>
      <c r="BB26" s="38">
        <v>6.78</v>
      </c>
      <c r="BC26" s="16">
        <v>350</v>
      </c>
      <c r="BD26" s="15"/>
      <c r="BE26" s="4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10"/>
      <c r="BU26" t="s">
        <v>6</v>
      </c>
      <c r="BV26" s="11"/>
      <c r="BW26" s="11"/>
      <c r="BX26" s="11"/>
      <c r="BY26" s="11"/>
      <c r="BZ26" s="11"/>
      <c r="CB26" s="76">
        <f t="shared" ref="CB26:CF30" si="44">(SUM(BW11:CA11)-MIN(BW11:CA11)-MAX(BW11:CA11))/3</f>
        <v>154.93333333333331</v>
      </c>
      <c r="CC26" s="75" t="e">
        <f t="shared" si="44"/>
        <v>#REF!</v>
      </c>
      <c r="CD26" s="75" t="e">
        <f t="shared" si="44"/>
        <v>#REF!</v>
      </c>
      <c r="CE26" s="75" t="e">
        <f t="shared" si="44"/>
        <v>#REF!</v>
      </c>
      <c r="CF26" s="75" t="e">
        <f t="shared" si="44"/>
        <v>#REF!</v>
      </c>
      <c r="CG26" s="74"/>
    </row>
    <row r="27" spans="1:85" x14ac:dyDescent="0.25">
      <c r="A27" s="90" t="s">
        <v>51</v>
      </c>
      <c r="B27" s="89" t="s">
        <v>40</v>
      </c>
      <c r="C27" s="85" t="s">
        <v>40</v>
      </c>
      <c r="D27" s="88">
        <v>0</v>
      </c>
      <c r="E27" s="88">
        <v>0</v>
      </c>
      <c r="F27" s="85" t="s">
        <v>40</v>
      </c>
      <c r="G27" s="85" t="s">
        <v>40</v>
      </c>
      <c r="H27" s="85" t="s">
        <v>40</v>
      </c>
      <c r="I27" s="291"/>
      <c r="J27" s="66"/>
      <c r="K27" s="89" t="s">
        <v>40</v>
      </c>
      <c r="L27" s="85" t="s">
        <v>40</v>
      </c>
      <c r="M27" s="86">
        <f>D27</f>
        <v>0</v>
      </c>
      <c r="N27" s="86">
        <f>E27</f>
        <v>0</v>
      </c>
      <c r="O27" s="85" t="s">
        <v>40</v>
      </c>
      <c r="P27" s="85" t="s">
        <v>40</v>
      </c>
      <c r="Q27" s="85" t="s">
        <v>40</v>
      </c>
      <c r="R27" s="158"/>
      <c r="S27" s="278"/>
      <c r="T27" s="89" t="s">
        <v>40</v>
      </c>
      <c r="U27" s="85" t="s">
        <v>40</v>
      </c>
      <c r="V27" s="86">
        <f>M27</f>
        <v>0</v>
      </c>
      <c r="W27" s="86">
        <f>N27</f>
        <v>0</v>
      </c>
      <c r="X27" s="85" t="s">
        <v>40</v>
      </c>
      <c r="Y27" s="85" t="s">
        <v>40</v>
      </c>
      <c r="Z27" s="85" t="s">
        <v>40</v>
      </c>
      <c r="AA27" s="66"/>
      <c r="AB27" s="84"/>
      <c r="AC27" s="83">
        <v>0</v>
      </c>
      <c r="AD27" s="10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U27" s="2" t="s">
        <v>100</v>
      </c>
      <c r="AV27" s="18"/>
      <c r="AW27" s="273">
        <f>AVERAGE(AW21:AW26)</f>
        <v>5.0666666666666664</v>
      </c>
      <c r="AX27" s="273">
        <f t="shared" ref="AX27:BC27" si="45">AVERAGE(AX21:AX26)</f>
        <v>11.743333333333334</v>
      </c>
      <c r="AY27" s="273">
        <f t="shared" si="45"/>
        <v>6.1005000000000003</v>
      </c>
      <c r="AZ27" s="273">
        <f t="shared" si="45"/>
        <v>7.1033333333333344</v>
      </c>
      <c r="BA27" s="273">
        <f t="shared" si="45"/>
        <v>4.6694666666666667</v>
      </c>
      <c r="BB27" s="273">
        <f t="shared" si="45"/>
        <v>6.5266666666666673</v>
      </c>
      <c r="BC27" s="3">
        <f t="shared" si="45"/>
        <v>350</v>
      </c>
      <c r="BD27" s="15"/>
      <c r="BE27" s="4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10"/>
      <c r="BU27" t="s">
        <v>9</v>
      </c>
      <c r="CB27" s="76">
        <f t="shared" si="44"/>
        <v>42.499999999999993</v>
      </c>
      <c r="CC27" s="75" t="e">
        <f t="shared" si="44"/>
        <v>#REF!</v>
      </c>
      <c r="CD27" s="75" t="e">
        <f t="shared" si="44"/>
        <v>#REF!</v>
      </c>
      <c r="CE27" s="75" t="e">
        <f t="shared" si="44"/>
        <v>#REF!</v>
      </c>
      <c r="CF27" s="75" t="e">
        <f t="shared" si="44"/>
        <v>#REF!</v>
      </c>
      <c r="CG27" s="74"/>
    </row>
    <row r="28" spans="1:85" ht="18" x14ac:dyDescent="0.35">
      <c r="A28" s="73" t="s">
        <v>50</v>
      </c>
      <c r="B28" s="82">
        <f>GP_Owned_CashRent!BM12-GP_Owned_CashRent!AW12</f>
        <v>-4.1999999999999815E-2</v>
      </c>
      <c r="C28" s="81">
        <f>GP_Owned_CashRent!BN12-GP_Owned_CashRent!AX12</f>
        <v>-0.19200000000000195</v>
      </c>
      <c r="D28" s="81">
        <f>GP_Owned_CashRent!BO12-GP_Owned_CashRent!AY27</f>
        <v>-9.7500000000000142E-2</v>
      </c>
      <c r="E28" s="81">
        <f>GP_Owned_CashRent!BP12-GP_Owned_CashRent!AZ27</f>
        <v>-9.733333333333416E-2</v>
      </c>
      <c r="F28" s="81">
        <f>GP_Owned_CashRent!BQ12-GP_Owned_CashRent!BA12</f>
        <v>-0.43984000000000023</v>
      </c>
      <c r="G28" s="81">
        <f>GP_Owned_CashRent!BR12-GP_Owned_CashRent!BB12</f>
        <v>-0.59200000000000141</v>
      </c>
      <c r="H28" s="81">
        <v>0</v>
      </c>
      <c r="I28" s="175"/>
      <c r="J28" s="260"/>
      <c r="K28" s="82">
        <f>B28</f>
        <v>-4.1999999999999815E-2</v>
      </c>
      <c r="L28" s="81">
        <f>C28</f>
        <v>-0.19200000000000195</v>
      </c>
      <c r="M28" s="81">
        <f>D28</f>
        <v>-9.7500000000000142E-2</v>
      </c>
      <c r="N28" s="81">
        <f>E28</f>
        <v>-9.733333333333416E-2</v>
      </c>
      <c r="O28" s="81">
        <f>F28</f>
        <v>-0.43984000000000023</v>
      </c>
      <c r="P28" s="81">
        <f>G28</f>
        <v>-0.59200000000000141</v>
      </c>
      <c r="Q28" s="81">
        <v>0</v>
      </c>
      <c r="R28" s="175"/>
      <c r="S28" s="108"/>
      <c r="T28" s="82">
        <f t="shared" ref="T28:Y28" si="46">B28</f>
        <v>-4.1999999999999815E-2</v>
      </c>
      <c r="U28" s="81">
        <f t="shared" si="46"/>
        <v>-0.19200000000000195</v>
      </c>
      <c r="V28" s="81">
        <f t="shared" si="46"/>
        <v>-9.7500000000000142E-2</v>
      </c>
      <c r="W28" s="81">
        <f t="shared" si="46"/>
        <v>-9.733333333333416E-2</v>
      </c>
      <c r="X28" s="81">
        <f t="shared" si="46"/>
        <v>-0.43984000000000023</v>
      </c>
      <c r="Y28" s="81">
        <f t="shared" si="46"/>
        <v>-0.59200000000000141</v>
      </c>
      <c r="Z28" s="81">
        <v>0</v>
      </c>
      <c r="AA28" s="252"/>
      <c r="AB28" s="80"/>
      <c r="AC28" s="79">
        <v>-5.0000000000000001E-3</v>
      </c>
      <c r="AD28" s="10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18"/>
      <c r="AW28" s="78" t="s">
        <v>49</v>
      </c>
      <c r="AX28" s="77"/>
      <c r="AY28" s="77"/>
      <c r="AZ28" s="77"/>
      <c r="BA28" s="77"/>
      <c r="BB28" s="77"/>
      <c r="BC28" s="114"/>
      <c r="BD28" s="58"/>
      <c r="BE28" s="4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10"/>
      <c r="BU28" t="s">
        <v>8</v>
      </c>
      <c r="CB28" s="76">
        <f t="shared" si="44"/>
        <v>153.16666666666663</v>
      </c>
      <c r="CC28" s="75" t="e">
        <f t="shared" si="44"/>
        <v>#REF!</v>
      </c>
      <c r="CD28" s="75" t="e">
        <f t="shared" si="44"/>
        <v>#REF!</v>
      </c>
      <c r="CE28" s="75" t="e">
        <f t="shared" si="44"/>
        <v>#REF!</v>
      </c>
      <c r="CF28" s="75" t="e">
        <f t="shared" si="44"/>
        <v>#REF!</v>
      </c>
      <c r="CG28" s="74"/>
    </row>
    <row r="29" spans="1:85" x14ac:dyDescent="0.25">
      <c r="A29" s="235" t="s">
        <v>48</v>
      </c>
      <c r="B29" s="72"/>
      <c r="C29" s="70"/>
      <c r="D29" s="71"/>
      <c r="E29" s="71"/>
      <c r="F29" s="71"/>
      <c r="G29" s="70"/>
      <c r="H29" s="245"/>
      <c r="I29" s="245"/>
      <c r="J29" s="67"/>
      <c r="K29" s="249">
        <v>0</v>
      </c>
      <c r="L29" s="68">
        <v>0</v>
      </c>
      <c r="M29" s="69">
        <v>0</v>
      </c>
      <c r="N29" s="69">
        <v>0</v>
      </c>
      <c r="O29" s="69">
        <v>0</v>
      </c>
      <c r="P29" s="68">
        <v>0</v>
      </c>
      <c r="Q29" s="68">
        <v>0</v>
      </c>
      <c r="R29" s="292"/>
      <c r="S29" s="279"/>
      <c r="T29" s="247" t="s">
        <v>40</v>
      </c>
      <c r="U29" s="65" t="s">
        <v>40</v>
      </c>
      <c r="V29" s="66" t="s">
        <v>40</v>
      </c>
      <c r="W29" s="66"/>
      <c r="X29" s="66" t="s">
        <v>40</v>
      </c>
      <c r="Y29" s="65" t="s">
        <v>40</v>
      </c>
      <c r="Z29" s="64"/>
      <c r="AA29" s="64"/>
      <c r="AB29" s="63"/>
      <c r="AC29" s="62"/>
      <c r="AD29" s="10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61" t="s">
        <v>47</v>
      </c>
      <c r="AV29" s="60"/>
      <c r="AW29" s="21" t="s">
        <v>6</v>
      </c>
      <c r="AX29" s="21" t="s">
        <v>9</v>
      </c>
      <c r="AY29" s="21" t="s">
        <v>46</v>
      </c>
      <c r="AZ29" s="51" t="s">
        <v>97</v>
      </c>
      <c r="BA29" s="21" t="s">
        <v>10</v>
      </c>
      <c r="BB29" s="21" t="s">
        <v>11</v>
      </c>
      <c r="BC29" s="59" t="s">
        <v>98</v>
      </c>
      <c r="BD29" s="27"/>
      <c r="BE29" s="4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10"/>
      <c r="BU29" t="s">
        <v>10</v>
      </c>
      <c r="CB29" s="76">
        <f t="shared" si="44"/>
        <v>75.2</v>
      </c>
      <c r="CC29" s="75" t="e">
        <f t="shared" si="44"/>
        <v>#REF!</v>
      </c>
      <c r="CD29" s="75" t="e">
        <f t="shared" si="44"/>
        <v>#REF!</v>
      </c>
      <c r="CE29" s="75" t="e">
        <f t="shared" si="44"/>
        <v>#REF!</v>
      </c>
      <c r="CF29" s="75" t="e">
        <f t="shared" si="44"/>
        <v>#REF!</v>
      </c>
      <c r="CG29" s="74"/>
    </row>
    <row r="30" spans="1:8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49">
        <v>2014</v>
      </c>
      <c r="AV30" s="48"/>
      <c r="AW30" s="47">
        <v>4.17</v>
      </c>
      <c r="AX30" s="47">
        <v>9.84</v>
      </c>
      <c r="AY30" s="47">
        <f>(14.21/100)*45</f>
        <v>6.3944999999999999</v>
      </c>
      <c r="AZ30" s="47">
        <f>(16.21/100)*45</f>
        <v>7.2945000000000011</v>
      </c>
      <c r="BA30" s="47">
        <v>4.03</v>
      </c>
      <c r="BB30" s="47">
        <v>5.55</v>
      </c>
      <c r="BC30" s="3">
        <v>350</v>
      </c>
      <c r="BD30" s="19"/>
      <c r="BE30" s="4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10"/>
      <c r="BU30" s="57" t="s">
        <v>11</v>
      </c>
      <c r="BV30" s="57"/>
      <c r="BW30" s="57"/>
      <c r="BX30" s="57"/>
      <c r="BY30" s="57"/>
      <c r="BZ30" s="57"/>
      <c r="CA30" s="57"/>
      <c r="CB30" s="56">
        <f t="shared" si="44"/>
        <v>44.699999999999996</v>
      </c>
      <c r="CC30" s="55" t="e">
        <f t="shared" si="44"/>
        <v>#REF!</v>
      </c>
      <c r="CD30" s="55" t="e">
        <f t="shared" si="44"/>
        <v>#REF!</v>
      </c>
      <c r="CE30" s="55" t="e">
        <f t="shared" si="44"/>
        <v>#REF!</v>
      </c>
      <c r="CF30" s="55" t="e">
        <f t="shared" si="44"/>
        <v>#REF!</v>
      </c>
      <c r="CG30" s="54"/>
    </row>
    <row r="31" spans="1:85" ht="14.4" x14ac:dyDescent="0.3">
      <c r="A31" s="234"/>
      <c r="B31" s="222"/>
      <c r="C31" s="222"/>
      <c r="D31" s="222"/>
      <c r="E31" s="222"/>
      <c r="F31" s="222"/>
      <c r="G31" s="222"/>
      <c r="H31" s="222"/>
      <c r="I31" s="222"/>
      <c r="J31" s="223"/>
      <c r="K31" s="222"/>
      <c r="L31" s="222"/>
      <c r="M31" s="222"/>
      <c r="N31" s="222"/>
      <c r="O31" s="222"/>
      <c r="P31" s="222"/>
      <c r="Q31" s="222"/>
      <c r="R31" s="222"/>
      <c r="S31" s="224"/>
      <c r="T31" s="222"/>
      <c r="U31" s="222"/>
      <c r="V31" s="222"/>
      <c r="W31" s="222"/>
      <c r="X31" s="222"/>
      <c r="Y31" s="222"/>
      <c r="Z31" s="222"/>
      <c r="AA31" s="222"/>
      <c r="AB31" s="225"/>
      <c r="AC31" s="22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42">
        <v>2015</v>
      </c>
      <c r="AV31" s="5"/>
      <c r="AW31" s="41">
        <v>4.09</v>
      </c>
      <c r="AX31" s="41">
        <v>9.8000000000000007</v>
      </c>
      <c r="AY31" s="41">
        <f>(12.93/100)*45</f>
        <v>5.8185000000000002</v>
      </c>
      <c r="AZ31" s="41">
        <f>(14.93/100)*45</f>
        <v>6.7184999999999997</v>
      </c>
      <c r="BA31" s="41">
        <v>3.85</v>
      </c>
      <c r="BB31" s="41">
        <v>5.37</v>
      </c>
      <c r="BC31" s="3">
        <v>350</v>
      </c>
      <c r="BD31" s="15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10"/>
      <c r="BU31" s="46" t="s">
        <v>7</v>
      </c>
      <c r="BV31" s="46"/>
      <c r="BW31" s="46"/>
      <c r="BX31" s="46"/>
      <c r="BY31" s="46"/>
      <c r="BZ31" s="46"/>
      <c r="CA31" s="46"/>
      <c r="CB31" s="45"/>
      <c r="CC31" s="44"/>
      <c r="CD31" s="44"/>
      <c r="CE31" s="44"/>
      <c r="CF31" s="44"/>
      <c r="CG31" s="43"/>
    </row>
    <row r="32" spans="1:8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2"/>
      <c r="AT32" s="32" t="s">
        <v>45</v>
      </c>
      <c r="AU32" s="40" t="s">
        <v>44</v>
      </c>
      <c r="AV32" s="39"/>
      <c r="AW32" s="37">
        <v>4.04</v>
      </c>
      <c r="AX32" s="37">
        <v>9.68</v>
      </c>
      <c r="AY32" s="38">
        <f>(12.82/100)*45</f>
        <v>5.7690000000000001</v>
      </c>
      <c r="AZ32" s="38">
        <f>(14.82/100)*45</f>
        <v>6.6689999999999996</v>
      </c>
      <c r="BA32" s="37">
        <v>3.84</v>
      </c>
      <c r="BB32" s="37">
        <v>5.28</v>
      </c>
      <c r="BC32" s="16">
        <v>350</v>
      </c>
      <c r="BD32" s="27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10"/>
    </row>
    <row r="33" spans="1:85" ht="18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31"/>
      <c r="AU33" s="31"/>
      <c r="AV33" s="30"/>
      <c r="AW33" s="29" t="s">
        <v>42</v>
      </c>
      <c r="AX33" s="28"/>
      <c r="AY33" s="28"/>
      <c r="AZ33" s="28"/>
      <c r="BA33" s="28"/>
      <c r="BB33" s="28"/>
      <c r="BC33" s="267"/>
      <c r="BD33" s="19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10"/>
      <c r="BU33" s="36" t="s">
        <v>43</v>
      </c>
      <c r="BV33" s="35"/>
      <c r="BW33" s="35"/>
      <c r="BX33" s="35"/>
      <c r="BY33" s="35"/>
      <c r="BZ33" s="35"/>
      <c r="CA33" s="35"/>
      <c r="CB33" s="35"/>
      <c r="CC33" s="34">
        <v>1.0149999999999999</v>
      </c>
      <c r="CD33" s="34">
        <v>1.0149999999999999</v>
      </c>
      <c r="CE33" s="34">
        <v>1.0149999999999999</v>
      </c>
      <c r="CF33" s="34">
        <v>1.0149999999999999</v>
      </c>
      <c r="CG33" s="33">
        <v>1.0149999999999999</v>
      </c>
    </row>
    <row r="34" spans="1:8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2"/>
      <c r="AU34" s="22"/>
      <c r="AV34" s="18"/>
      <c r="AW34" s="20">
        <v>41834</v>
      </c>
      <c r="AX34" s="20">
        <v>41896</v>
      </c>
      <c r="AY34" s="20">
        <v>41896</v>
      </c>
      <c r="AZ34" s="20"/>
      <c r="BA34" s="21" t="s">
        <v>40</v>
      </c>
      <c r="BB34" s="20">
        <v>41896</v>
      </c>
      <c r="BC34" s="21" t="s">
        <v>40</v>
      </c>
      <c r="BD34" s="15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10"/>
      <c r="BU34" s="26" t="s">
        <v>41</v>
      </c>
      <c r="BV34" s="25"/>
      <c r="BW34" s="25"/>
      <c r="BX34" s="25"/>
      <c r="BY34" s="25"/>
      <c r="BZ34" s="25"/>
      <c r="CA34" s="25"/>
      <c r="CB34" s="25"/>
      <c r="CC34" s="24">
        <v>1.0149999999999999</v>
      </c>
      <c r="CD34" s="24">
        <v>1.0149999999999999</v>
      </c>
      <c r="CE34" s="24">
        <v>1.0149999999999999</v>
      </c>
      <c r="CF34" s="24">
        <v>1.0149999999999999</v>
      </c>
      <c r="CG34" s="23">
        <v>1.0149999999999999</v>
      </c>
    </row>
    <row r="35" spans="1:85" ht="14.4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18"/>
      <c r="AW35" s="16">
        <v>4.9000000000000004</v>
      </c>
      <c r="AX35" s="16">
        <v>12.56</v>
      </c>
      <c r="AY35" s="16">
        <f>(14.28/100)*45</f>
        <v>6.4259999999999993</v>
      </c>
      <c r="AZ35" s="16"/>
      <c r="BA35" s="17">
        <f>(BA10-AW10)+AW35</f>
        <v>4.6885333333333348</v>
      </c>
      <c r="BB35" s="16">
        <v>7.25</v>
      </c>
      <c r="BC35" s="16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10"/>
    </row>
    <row r="36" spans="1:8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10"/>
      <c r="BU36" s="2" t="s">
        <v>39</v>
      </c>
      <c r="CB36" s="11">
        <v>1</v>
      </c>
      <c r="CC36" s="11">
        <v>1</v>
      </c>
      <c r="CD36" s="11">
        <v>1</v>
      </c>
      <c r="CE36" s="11">
        <v>1</v>
      </c>
      <c r="CF36" s="11">
        <v>1</v>
      </c>
    </row>
    <row r="37" spans="1:8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 t="s">
        <v>37</v>
      </c>
      <c r="CB37" s="11">
        <v>1</v>
      </c>
      <c r="CC37" s="11">
        <v>1</v>
      </c>
      <c r="CD37" s="11">
        <v>1</v>
      </c>
      <c r="CE37" s="11">
        <v>1</v>
      </c>
      <c r="CF37" s="11">
        <v>1</v>
      </c>
    </row>
    <row r="38" spans="1:85" ht="14.4" x14ac:dyDescent="0.3">
      <c r="A38" s="225"/>
      <c r="B38" s="230"/>
      <c r="C38" s="230"/>
      <c r="D38" s="230"/>
      <c r="E38" s="230"/>
      <c r="F38" s="230"/>
      <c r="G38" s="230"/>
      <c r="H38" s="230"/>
      <c r="I38" s="227"/>
      <c r="J38" s="148"/>
      <c r="K38" s="230"/>
      <c r="L38" s="230"/>
      <c r="M38" s="230"/>
      <c r="N38" s="230"/>
      <c r="O38" s="230"/>
      <c r="P38" s="230"/>
      <c r="Q38" s="230"/>
      <c r="R38" s="227"/>
      <c r="S38" s="224"/>
      <c r="T38" s="230"/>
      <c r="U38" s="230"/>
      <c r="V38" s="230"/>
      <c r="W38" s="230"/>
      <c r="X38" s="230"/>
      <c r="Y38" s="230"/>
      <c r="Z38" s="230"/>
      <c r="AA38" s="227"/>
      <c r="AB38" s="225"/>
      <c r="AC38" s="230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 t="s">
        <v>36</v>
      </c>
      <c r="CB38" s="11">
        <v>1</v>
      </c>
      <c r="CC38" s="11">
        <v>1</v>
      </c>
      <c r="CD38" s="11">
        <v>1</v>
      </c>
      <c r="CE38" s="11">
        <v>1</v>
      </c>
      <c r="CF38" s="11">
        <v>1</v>
      </c>
    </row>
    <row r="39" spans="1:85" ht="14.4" x14ac:dyDescent="0.3">
      <c r="A39" s="229"/>
      <c r="B39" s="226"/>
      <c r="C39" s="226"/>
      <c r="D39" s="226"/>
      <c r="E39" s="226"/>
      <c r="F39" s="226"/>
      <c r="G39" s="226"/>
      <c r="H39" s="226"/>
      <c r="I39" s="227"/>
      <c r="J39" s="228"/>
      <c r="K39" s="227"/>
      <c r="L39" s="226"/>
      <c r="M39" s="226"/>
      <c r="N39" s="226"/>
      <c r="O39" s="226"/>
      <c r="P39" s="226"/>
      <c r="Q39" s="226"/>
      <c r="R39" s="227"/>
      <c r="S39" s="224"/>
      <c r="T39" s="226"/>
      <c r="U39" s="226"/>
      <c r="V39" s="226"/>
      <c r="W39" s="226"/>
      <c r="X39" s="226"/>
      <c r="Y39" s="226"/>
      <c r="Z39" s="226"/>
      <c r="AA39" s="227"/>
      <c r="AB39" s="225"/>
      <c r="AC39" s="227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 t="s">
        <v>35</v>
      </c>
      <c r="CB39" s="11">
        <v>1</v>
      </c>
      <c r="CC39" s="11">
        <v>1</v>
      </c>
      <c r="CD39" s="11">
        <v>1</v>
      </c>
      <c r="CE39" s="11">
        <v>1</v>
      </c>
      <c r="CF39" s="11">
        <v>1</v>
      </c>
    </row>
    <row r="40" spans="1:85" ht="14.4" x14ac:dyDescent="0.3">
      <c r="A40" s="225"/>
      <c r="B40" s="230"/>
      <c r="C40" s="230"/>
      <c r="D40" s="230"/>
      <c r="E40" s="230"/>
      <c r="F40" s="230"/>
      <c r="G40" s="230"/>
      <c r="H40" s="230"/>
      <c r="I40" s="227"/>
      <c r="J40" s="148"/>
      <c r="K40" s="230"/>
      <c r="L40" s="230"/>
      <c r="M40" s="230"/>
      <c r="N40" s="230"/>
      <c r="O40" s="230"/>
      <c r="P40" s="230"/>
      <c r="Q40" s="230"/>
      <c r="R40" s="227"/>
      <c r="S40" s="224"/>
      <c r="T40" s="230"/>
      <c r="U40" s="230"/>
      <c r="V40" s="230"/>
      <c r="W40" s="230"/>
      <c r="X40" s="230"/>
      <c r="Y40" s="230"/>
      <c r="Z40" s="230"/>
      <c r="AA40" s="227"/>
      <c r="AB40" s="225"/>
      <c r="AC40" s="230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 t="s">
        <v>34</v>
      </c>
      <c r="CB40" s="11">
        <v>1</v>
      </c>
      <c r="CC40" s="11">
        <v>1</v>
      </c>
      <c r="CD40" s="11">
        <v>1</v>
      </c>
      <c r="CE40" s="11">
        <v>1</v>
      </c>
      <c r="CF40" s="11">
        <v>1</v>
      </c>
    </row>
    <row r="41" spans="1:85" ht="14.4" x14ac:dyDescent="0.3">
      <c r="A41" s="229"/>
      <c r="B41" s="226"/>
      <c r="C41" s="226"/>
      <c r="D41" s="226"/>
      <c r="E41" s="226"/>
      <c r="F41" s="226"/>
      <c r="G41" s="226"/>
      <c r="H41" s="226"/>
      <c r="I41" s="227"/>
      <c r="J41" s="228"/>
      <c r="K41" s="226"/>
      <c r="L41" s="226"/>
      <c r="M41" s="226"/>
      <c r="N41" s="226"/>
      <c r="O41" s="226"/>
      <c r="P41" s="226"/>
      <c r="Q41" s="226"/>
      <c r="R41" s="227"/>
      <c r="S41" s="224"/>
      <c r="T41" s="226"/>
      <c r="U41" s="226"/>
      <c r="V41" s="226"/>
      <c r="W41" s="226"/>
      <c r="X41" s="226"/>
      <c r="Y41" s="226"/>
      <c r="Z41" s="226"/>
      <c r="AA41" s="227"/>
      <c r="AB41" s="225"/>
      <c r="AC41" s="227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 t="s">
        <v>33</v>
      </c>
      <c r="CB41" s="11">
        <v>1</v>
      </c>
      <c r="CC41" s="11">
        <v>1</v>
      </c>
      <c r="CD41" s="11">
        <v>1</v>
      </c>
      <c r="CE41" s="11">
        <v>1</v>
      </c>
      <c r="CF41" s="11">
        <v>1</v>
      </c>
    </row>
    <row r="42" spans="1:85" x14ac:dyDescent="0.25">
      <c r="A42" s="225"/>
      <c r="B42" s="231"/>
      <c r="C42" s="231"/>
      <c r="D42" s="231"/>
      <c r="E42" s="231"/>
      <c r="F42" s="231"/>
      <c r="G42" s="231"/>
      <c r="H42" s="231"/>
      <c r="I42" s="231"/>
      <c r="J42" s="232"/>
      <c r="K42" s="231"/>
      <c r="L42" s="231"/>
      <c r="M42" s="231"/>
      <c r="N42" s="231"/>
      <c r="O42" s="231"/>
      <c r="P42" s="231"/>
      <c r="Q42" s="231"/>
      <c r="R42" s="231"/>
      <c r="S42" s="224"/>
      <c r="T42" s="231"/>
      <c r="U42" s="231"/>
      <c r="V42" s="231"/>
      <c r="W42" s="231"/>
      <c r="X42" s="231"/>
      <c r="Y42" s="231"/>
      <c r="Z42" s="231"/>
      <c r="AA42" s="231"/>
      <c r="AB42" s="225"/>
      <c r="AC42" s="231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 t="s">
        <v>32</v>
      </c>
      <c r="CB42" s="11">
        <v>1</v>
      </c>
      <c r="CC42" s="11">
        <v>1</v>
      </c>
      <c r="CD42" s="11">
        <v>1</v>
      </c>
      <c r="CE42" s="11">
        <v>1</v>
      </c>
      <c r="CF42" s="11">
        <v>1</v>
      </c>
    </row>
    <row r="43" spans="1:85" ht="14.4" x14ac:dyDescent="0.3">
      <c r="A43" s="234"/>
      <c r="B43" s="231"/>
      <c r="C43" s="231"/>
      <c r="D43" s="231"/>
      <c r="E43" s="231"/>
      <c r="F43" s="231"/>
      <c r="G43" s="231"/>
      <c r="H43" s="231"/>
      <c r="I43" s="231"/>
      <c r="J43" s="232"/>
      <c r="K43" s="231"/>
      <c r="L43" s="231"/>
      <c r="M43" s="231"/>
      <c r="N43" s="231"/>
      <c r="O43" s="231"/>
      <c r="P43" s="231"/>
      <c r="Q43" s="231"/>
      <c r="R43" s="231"/>
      <c r="S43" s="224"/>
      <c r="T43" s="231"/>
      <c r="U43" s="231"/>
      <c r="V43" s="231"/>
      <c r="W43" s="231"/>
      <c r="X43" s="231"/>
      <c r="Y43" s="231"/>
      <c r="Z43" s="231"/>
      <c r="AA43" s="231"/>
      <c r="AB43" s="225"/>
      <c r="AC43" s="231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 t="s">
        <v>31</v>
      </c>
      <c r="CB43" s="11">
        <v>1</v>
      </c>
      <c r="CC43" s="11">
        <v>1</v>
      </c>
      <c r="CD43" s="11">
        <v>1</v>
      </c>
      <c r="CE43" s="11">
        <v>1</v>
      </c>
      <c r="CF43" s="11">
        <v>1</v>
      </c>
    </row>
    <row r="44" spans="1:85" ht="14.4" x14ac:dyDescent="0.3">
      <c r="A44" s="225"/>
      <c r="B44" s="231"/>
      <c r="C44" s="231"/>
      <c r="D44" s="231"/>
      <c r="E44" s="231"/>
      <c r="F44" s="231"/>
      <c r="G44" s="231"/>
      <c r="H44" s="231"/>
      <c r="I44" s="233"/>
      <c r="J44" s="232"/>
      <c r="K44" s="231"/>
      <c r="L44" s="231"/>
      <c r="M44" s="231"/>
      <c r="N44" s="231"/>
      <c r="O44" s="231"/>
      <c r="P44" s="231"/>
      <c r="Q44" s="231"/>
      <c r="R44" s="233"/>
      <c r="S44" s="224"/>
      <c r="T44" s="231"/>
      <c r="U44" s="231"/>
      <c r="V44" s="231"/>
      <c r="W44" s="231"/>
      <c r="X44" s="231"/>
      <c r="Y44" s="231"/>
      <c r="Z44" s="231"/>
      <c r="AA44" s="233"/>
      <c r="AB44" s="225"/>
      <c r="AC44" s="231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 t="s">
        <v>30</v>
      </c>
      <c r="CB44" s="11">
        <v>1</v>
      </c>
      <c r="CC44" s="11">
        <v>1</v>
      </c>
      <c r="CD44" s="11">
        <v>1</v>
      </c>
      <c r="CE44" s="11">
        <v>1</v>
      </c>
      <c r="CF44" s="11">
        <v>1</v>
      </c>
    </row>
    <row r="45" spans="1:85" ht="14.4" x14ac:dyDescent="0.3">
      <c r="A45" s="225"/>
      <c r="B45" s="231"/>
      <c r="C45" s="231"/>
      <c r="D45" s="231"/>
      <c r="E45" s="231"/>
      <c r="F45" s="231"/>
      <c r="G45" s="231"/>
      <c r="H45" s="231"/>
      <c r="I45" s="233"/>
      <c r="J45" s="232"/>
      <c r="K45" s="231"/>
      <c r="L45" s="231"/>
      <c r="M45" s="231"/>
      <c r="N45" s="231"/>
      <c r="O45" s="231"/>
      <c r="P45" s="231"/>
      <c r="Q45" s="231"/>
      <c r="R45" s="233"/>
      <c r="S45" s="224"/>
      <c r="T45" s="231"/>
      <c r="U45" s="231"/>
      <c r="V45" s="231"/>
      <c r="W45" s="231"/>
      <c r="X45" s="231"/>
      <c r="Y45" s="231"/>
      <c r="Z45" s="231"/>
      <c r="AA45" s="233"/>
      <c r="AB45" s="225"/>
      <c r="AC45" s="231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 t="s">
        <v>29</v>
      </c>
      <c r="CB45" s="11">
        <v>1</v>
      </c>
      <c r="CC45" s="11">
        <v>1</v>
      </c>
      <c r="CD45" s="11">
        <v>1</v>
      </c>
      <c r="CE45" s="11">
        <v>1</v>
      </c>
      <c r="CF45" s="11">
        <v>1</v>
      </c>
    </row>
    <row r="46" spans="1:85" ht="14.4" x14ac:dyDescent="0.3">
      <c r="A46" s="225"/>
      <c r="B46" s="231"/>
      <c r="C46" s="231"/>
      <c r="D46" s="231"/>
      <c r="E46" s="231"/>
      <c r="F46" s="231"/>
      <c r="G46" s="231"/>
      <c r="H46" s="231"/>
      <c r="I46" s="233"/>
      <c r="J46" s="232"/>
      <c r="K46" s="231"/>
      <c r="L46" s="231"/>
      <c r="M46" s="231"/>
      <c r="N46" s="231"/>
      <c r="O46" s="231"/>
      <c r="P46" s="231"/>
      <c r="Q46" s="231"/>
      <c r="R46" s="233"/>
      <c r="S46" s="224"/>
      <c r="T46" s="231"/>
      <c r="U46" s="231"/>
      <c r="V46" s="231"/>
      <c r="W46" s="231"/>
      <c r="X46" s="231"/>
      <c r="Y46" s="231"/>
      <c r="Z46" s="231"/>
      <c r="AA46" s="233"/>
      <c r="AB46" s="225"/>
      <c r="AC46" s="231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 t="s">
        <v>28</v>
      </c>
      <c r="CB46" s="11">
        <v>1</v>
      </c>
      <c r="CC46" s="11">
        <v>1</v>
      </c>
      <c r="CD46" s="11">
        <v>1</v>
      </c>
      <c r="CE46" s="11">
        <v>1</v>
      </c>
      <c r="CF46" s="11">
        <v>1</v>
      </c>
    </row>
    <row r="47" spans="1:85" ht="14.4" x14ac:dyDescent="0.3">
      <c r="A47" s="225"/>
      <c r="B47" s="231"/>
      <c r="C47" s="231"/>
      <c r="D47" s="231"/>
      <c r="E47" s="231"/>
      <c r="F47" s="231"/>
      <c r="G47" s="231"/>
      <c r="H47" s="231"/>
      <c r="I47" s="233"/>
      <c r="J47" s="232"/>
      <c r="K47" s="231"/>
      <c r="L47" s="231"/>
      <c r="M47" s="231"/>
      <c r="N47" s="231"/>
      <c r="O47" s="231"/>
      <c r="P47" s="231"/>
      <c r="Q47" s="231"/>
      <c r="R47" s="233"/>
      <c r="S47" s="224"/>
      <c r="T47" s="231"/>
      <c r="U47" s="231"/>
      <c r="V47" s="231"/>
      <c r="W47" s="231"/>
      <c r="X47" s="231"/>
      <c r="Y47" s="231"/>
      <c r="Z47" s="231"/>
      <c r="AA47" s="233"/>
      <c r="AB47" s="225"/>
      <c r="AC47" s="231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 t="s">
        <v>27</v>
      </c>
      <c r="CB47" s="11">
        <v>1</v>
      </c>
      <c r="CC47" s="11">
        <v>1</v>
      </c>
      <c r="CD47" s="11">
        <v>1</v>
      </c>
      <c r="CE47" s="11">
        <v>1</v>
      </c>
      <c r="CF47" s="11">
        <v>1</v>
      </c>
    </row>
    <row r="48" spans="1:85" ht="14.4" x14ac:dyDescent="0.3">
      <c r="A48" s="225"/>
      <c r="B48" s="231"/>
      <c r="C48" s="231"/>
      <c r="D48" s="231"/>
      <c r="E48" s="231"/>
      <c r="F48" s="231"/>
      <c r="G48" s="231"/>
      <c r="H48" s="231"/>
      <c r="I48" s="233"/>
      <c r="J48" s="232"/>
      <c r="K48" s="231"/>
      <c r="L48" s="231"/>
      <c r="M48" s="231"/>
      <c r="N48" s="231"/>
      <c r="O48" s="231"/>
      <c r="P48" s="231"/>
      <c r="Q48" s="231"/>
      <c r="R48" s="233"/>
      <c r="S48" s="224"/>
      <c r="T48" s="231"/>
      <c r="U48" s="231"/>
      <c r="V48" s="231"/>
      <c r="W48" s="231"/>
      <c r="X48" s="231"/>
      <c r="Y48" s="231"/>
      <c r="Z48" s="231"/>
      <c r="AA48" s="233"/>
      <c r="AB48" s="225"/>
      <c r="AC48" s="231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 t="s">
        <v>26</v>
      </c>
      <c r="CB48" s="11">
        <v>1</v>
      </c>
      <c r="CC48" s="11">
        <v>1</v>
      </c>
      <c r="CD48" s="11">
        <v>1</v>
      </c>
      <c r="CE48" s="11">
        <v>1</v>
      </c>
      <c r="CF48" s="11">
        <v>1</v>
      </c>
    </row>
    <row r="49" spans="1:84" ht="14.4" x14ac:dyDescent="0.3">
      <c r="A49" s="234"/>
      <c r="B49" s="231"/>
      <c r="C49" s="231"/>
      <c r="D49" s="231"/>
      <c r="E49" s="231"/>
      <c r="F49" s="231"/>
      <c r="G49" s="231"/>
      <c r="H49" s="231"/>
      <c r="I49" s="233"/>
      <c r="J49" s="232"/>
      <c r="K49" s="231"/>
      <c r="L49" s="231"/>
      <c r="M49" s="231"/>
      <c r="N49" s="231"/>
      <c r="O49" s="231"/>
      <c r="P49" s="231"/>
      <c r="Q49" s="231"/>
      <c r="R49" s="233"/>
      <c r="S49" s="224"/>
      <c r="T49" s="231"/>
      <c r="U49" s="231"/>
      <c r="V49" s="231"/>
      <c r="W49" s="231"/>
      <c r="X49" s="231"/>
      <c r="Y49" s="231"/>
      <c r="Z49" s="231"/>
      <c r="AA49" s="233"/>
      <c r="AB49" s="225"/>
      <c r="AC49" s="231"/>
      <c r="AD49" s="2"/>
      <c r="BU49" s="2" t="s">
        <v>25</v>
      </c>
      <c r="CB49" s="11">
        <v>1</v>
      </c>
      <c r="CC49" s="11">
        <v>1</v>
      </c>
      <c r="CD49" s="11">
        <v>1</v>
      </c>
      <c r="CE49" s="11">
        <v>1</v>
      </c>
      <c r="CF49" s="11">
        <v>1</v>
      </c>
    </row>
    <row r="50" spans="1:84" ht="14.4" x14ac:dyDescent="0.3">
      <c r="A50" s="225"/>
      <c r="B50" s="231"/>
      <c r="C50" s="231"/>
      <c r="D50" s="231"/>
      <c r="E50" s="231"/>
      <c r="F50" s="231"/>
      <c r="G50" s="231"/>
      <c r="H50" s="231"/>
      <c r="I50" s="233"/>
      <c r="J50" s="232"/>
      <c r="K50" s="231"/>
      <c r="L50" s="231"/>
      <c r="M50" s="231"/>
      <c r="N50" s="231"/>
      <c r="O50" s="231"/>
      <c r="P50" s="231"/>
      <c r="Q50" s="231"/>
      <c r="R50" s="233"/>
      <c r="S50" s="224"/>
      <c r="T50" s="231"/>
      <c r="U50" s="231"/>
      <c r="V50" s="231"/>
      <c r="W50" s="231"/>
      <c r="X50" s="231"/>
      <c r="Y50" s="231"/>
      <c r="Z50" s="231"/>
      <c r="AA50" s="233"/>
      <c r="AB50" s="225"/>
      <c r="AC50" s="231"/>
      <c r="AD50" s="2"/>
      <c r="BU50" s="2" t="s">
        <v>24</v>
      </c>
      <c r="CB50" s="11">
        <v>1</v>
      </c>
      <c r="CC50" s="11">
        <v>1</v>
      </c>
      <c r="CD50" s="11">
        <v>1</v>
      </c>
      <c r="CE50" s="11">
        <v>1</v>
      </c>
      <c r="CF50" s="11">
        <v>1</v>
      </c>
    </row>
    <row r="51" spans="1:84" ht="14.4" x14ac:dyDescent="0.3">
      <c r="A51" s="225"/>
      <c r="B51" s="231"/>
      <c r="C51" s="231"/>
      <c r="D51" s="231"/>
      <c r="E51" s="231"/>
      <c r="F51" s="231"/>
      <c r="G51" s="231"/>
      <c r="H51" s="231"/>
      <c r="I51" s="233"/>
      <c r="J51" s="232"/>
      <c r="K51" s="231"/>
      <c r="L51" s="231"/>
      <c r="M51" s="231"/>
      <c r="N51" s="231"/>
      <c r="O51" s="231"/>
      <c r="P51" s="231"/>
      <c r="Q51" s="231"/>
      <c r="R51" s="233"/>
      <c r="S51" s="224"/>
      <c r="T51" s="231"/>
      <c r="U51" s="231"/>
      <c r="V51" s="231"/>
      <c r="W51" s="231"/>
      <c r="X51" s="231"/>
      <c r="Y51" s="231"/>
      <c r="Z51" s="231"/>
      <c r="AA51" s="233"/>
      <c r="AB51" s="225"/>
      <c r="AC51" s="231"/>
      <c r="AD51" s="2"/>
      <c r="BU51" s="2" t="s">
        <v>23</v>
      </c>
      <c r="CB51" s="11">
        <v>1</v>
      </c>
      <c r="CC51" s="11">
        <v>1</v>
      </c>
      <c r="CD51" s="11">
        <v>1</v>
      </c>
      <c r="CE51" s="11">
        <v>1</v>
      </c>
      <c r="CF51" s="11">
        <v>1</v>
      </c>
    </row>
    <row r="52" spans="1:84" ht="14.4" x14ac:dyDescent="0.3">
      <c r="A52" s="225"/>
      <c r="B52" s="231"/>
      <c r="C52" s="231"/>
      <c r="D52" s="231"/>
      <c r="E52" s="231"/>
      <c r="F52" s="231"/>
      <c r="G52" s="231"/>
      <c r="H52" s="231"/>
      <c r="I52" s="233"/>
      <c r="J52" s="232"/>
      <c r="K52" s="231"/>
      <c r="L52" s="231"/>
      <c r="M52" s="231"/>
      <c r="N52" s="231"/>
      <c r="O52" s="231"/>
      <c r="P52" s="231"/>
      <c r="Q52" s="231"/>
      <c r="R52" s="233"/>
      <c r="S52" s="224"/>
      <c r="T52" s="231"/>
      <c r="U52" s="231"/>
      <c r="V52" s="231"/>
      <c r="W52" s="231"/>
      <c r="X52" s="231"/>
      <c r="Y52" s="231"/>
      <c r="Z52" s="231"/>
      <c r="AA52" s="233"/>
      <c r="AB52" s="225"/>
      <c r="AC52" s="231"/>
      <c r="AD52" s="2"/>
      <c r="BU52" s="2" t="s">
        <v>22</v>
      </c>
      <c r="CB52" s="11">
        <v>1</v>
      </c>
      <c r="CC52" s="11">
        <v>1</v>
      </c>
      <c r="CD52" s="11">
        <v>1</v>
      </c>
      <c r="CE52" s="11">
        <v>1</v>
      </c>
      <c r="CF52" s="11">
        <v>1</v>
      </c>
    </row>
    <row r="53" spans="1:84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2"/>
      <c r="BU53" s="2" t="s">
        <v>13</v>
      </c>
      <c r="CB53" s="11">
        <v>1</v>
      </c>
      <c r="CC53" s="11">
        <v>1</v>
      </c>
      <c r="CD53" s="11">
        <v>1</v>
      </c>
      <c r="CE53" s="11">
        <v>1</v>
      </c>
      <c r="CF53" s="11">
        <v>1</v>
      </c>
    </row>
    <row r="54" spans="1:84" x14ac:dyDescent="0.25">
      <c r="A54" s="4"/>
      <c r="B54" s="140"/>
      <c r="C54" s="140"/>
      <c r="D54" s="140"/>
      <c r="E54" s="140"/>
      <c r="F54" s="140"/>
      <c r="G54" s="140"/>
      <c r="H54" s="140"/>
      <c r="I54" s="4"/>
      <c r="J54" s="4"/>
      <c r="K54" s="140"/>
      <c r="L54" s="140"/>
      <c r="M54" s="140"/>
      <c r="N54" s="140"/>
      <c r="O54" s="140"/>
      <c r="P54" s="140"/>
      <c r="Q54" s="140"/>
      <c r="R54" s="4"/>
      <c r="S54" s="4"/>
      <c r="T54" s="140"/>
      <c r="U54" s="140"/>
      <c r="V54" s="140"/>
      <c r="W54" s="140"/>
      <c r="X54" s="140"/>
      <c r="Y54" s="140"/>
      <c r="Z54" s="140"/>
      <c r="AA54" s="4"/>
      <c r="AB54" s="4"/>
      <c r="AC54" s="4"/>
      <c r="AD54" s="2"/>
      <c r="BU54" s="2" t="s">
        <v>21</v>
      </c>
      <c r="CB54" s="11">
        <v>1</v>
      </c>
      <c r="CC54" s="11">
        <v>1</v>
      </c>
      <c r="CD54" s="11">
        <v>1</v>
      </c>
      <c r="CE54" s="11">
        <v>1</v>
      </c>
      <c r="CF54" s="11">
        <v>1</v>
      </c>
    </row>
    <row r="55" spans="1:84" x14ac:dyDescent="0.25">
      <c r="A55" s="4"/>
      <c r="B55" s="3"/>
      <c r="C55" s="3"/>
      <c r="D55" s="3"/>
      <c r="E55" s="3"/>
      <c r="F55" s="3"/>
      <c r="G55" s="3"/>
      <c r="H55" s="3"/>
      <c r="I55" s="4"/>
      <c r="J55" s="4"/>
      <c r="K55" s="3"/>
      <c r="L55" s="3"/>
      <c r="M55" s="3"/>
      <c r="N55" s="3"/>
      <c r="O55" s="3"/>
      <c r="P55" s="3"/>
      <c r="Q55" s="3"/>
      <c r="R55" s="4"/>
      <c r="S55" s="4"/>
      <c r="T55" s="3"/>
      <c r="U55" s="3"/>
      <c r="V55" s="3"/>
      <c r="W55" s="3"/>
      <c r="X55" s="3"/>
      <c r="Y55" s="3"/>
      <c r="Z55" s="3"/>
      <c r="AA55" s="4"/>
      <c r="AB55" s="4"/>
      <c r="AC55" s="3"/>
      <c r="AD55" s="2"/>
      <c r="BU55" s="2" t="s">
        <v>38</v>
      </c>
      <c r="CB55" s="11">
        <v>1</v>
      </c>
      <c r="CC55" s="11">
        <v>1</v>
      </c>
      <c r="CD55" s="11">
        <v>1</v>
      </c>
      <c r="CE55" s="11">
        <v>1</v>
      </c>
      <c r="CF55" s="11">
        <v>1</v>
      </c>
    </row>
    <row r="56" spans="1:84" x14ac:dyDescent="0.25">
      <c r="A56" s="4"/>
      <c r="B56" s="3"/>
      <c r="C56" s="3"/>
      <c r="D56" s="3"/>
      <c r="E56" s="3"/>
      <c r="F56" s="3"/>
      <c r="G56" s="3"/>
      <c r="H56" s="3"/>
      <c r="I56" s="4"/>
      <c r="J56" s="4"/>
      <c r="K56" s="3"/>
      <c r="L56" s="3"/>
      <c r="M56" s="3"/>
      <c r="N56" s="3"/>
      <c r="O56" s="3"/>
      <c r="P56" s="3"/>
      <c r="Q56" s="3"/>
      <c r="R56" s="4"/>
      <c r="S56" s="4"/>
      <c r="T56" s="3"/>
      <c r="U56" s="3"/>
      <c r="V56" s="3"/>
      <c r="W56" s="3"/>
      <c r="X56" s="3"/>
      <c r="Y56" s="3"/>
      <c r="Z56" s="3"/>
      <c r="AA56" s="4"/>
      <c r="AB56" s="4"/>
      <c r="AC56" s="3"/>
      <c r="AD56" s="2"/>
      <c r="BU56" s="2" t="s">
        <v>20</v>
      </c>
      <c r="CB56" s="11">
        <v>1</v>
      </c>
      <c r="CC56" s="11">
        <v>1</v>
      </c>
      <c r="CD56" s="11">
        <v>1</v>
      </c>
      <c r="CE56" s="11">
        <v>1</v>
      </c>
      <c r="CF56" s="11">
        <v>1</v>
      </c>
    </row>
    <row r="57" spans="1:84" x14ac:dyDescent="0.25">
      <c r="A57" s="4"/>
      <c r="B57" s="3"/>
      <c r="C57" s="3"/>
      <c r="D57" s="3"/>
      <c r="E57" s="3"/>
      <c r="F57" s="3"/>
      <c r="G57" s="3"/>
      <c r="H57" s="3"/>
      <c r="I57" s="4"/>
      <c r="J57" s="4"/>
      <c r="K57" s="3"/>
      <c r="L57" s="3"/>
      <c r="M57" s="3"/>
      <c r="N57" s="3"/>
      <c r="O57" s="3"/>
      <c r="P57" s="3"/>
      <c r="Q57" s="3"/>
      <c r="R57" s="4"/>
      <c r="S57" s="4"/>
      <c r="T57" s="3"/>
      <c r="U57" s="3"/>
      <c r="V57" s="3"/>
      <c r="W57" s="3"/>
      <c r="X57" s="3"/>
      <c r="Y57" s="3"/>
      <c r="Z57" s="3"/>
      <c r="AA57" s="4"/>
      <c r="AB57" s="4"/>
      <c r="AC57" s="3"/>
      <c r="AD57" s="2"/>
      <c r="BU57" s="2" t="s">
        <v>19</v>
      </c>
      <c r="CB57" s="11">
        <v>1</v>
      </c>
      <c r="CC57" s="11">
        <v>1</v>
      </c>
      <c r="CD57" s="11">
        <v>1</v>
      </c>
      <c r="CE57" s="11">
        <v>1</v>
      </c>
      <c r="CF57" s="11">
        <v>1</v>
      </c>
    </row>
    <row r="58" spans="1:84" x14ac:dyDescent="0.25">
      <c r="A58" s="4"/>
      <c r="B58" s="3"/>
      <c r="C58" s="3"/>
      <c r="D58" s="3"/>
      <c r="E58" s="3"/>
      <c r="F58" s="3"/>
      <c r="G58" s="3"/>
      <c r="H58" s="3"/>
      <c r="I58" s="4"/>
      <c r="J58" s="4"/>
      <c r="K58" s="3"/>
      <c r="L58" s="3"/>
      <c r="M58" s="3"/>
      <c r="N58" s="3"/>
      <c r="O58" s="3"/>
      <c r="P58" s="3"/>
      <c r="Q58" s="3"/>
      <c r="R58" s="4"/>
      <c r="S58" s="4"/>
      <c r="T58" s="3"/>
      <c r="U58" s="3"/>
      <c r="V58" s="3"/>
      <c r="W58" s="3"/>
      <c r="X58" s="3"/>
      <c r="Y58" s="3"/>
      <c r="Z58" s="3"/>
      <c r="AA58" s="4"/>
      <c r="AB58" s="4"/>
      <c r="AC58" s="3"/>
      <c r="AD58" s="2"/>
      <c r="BU58" s="2" t="s">
        <v>18</v>
      </c>
      <c r="CB58" s="11">
        <v>1</v>
      </c>
      <c r="CC58" s="11">
        <v>1</v>
      </c>
      <c r="CD58" s="11">
        <v>1</v>
      </c>
      <c r="CE58" s="11">
        <v>1</v>
      </c>
      <c r="CF58" s="11">
        <v>1</v>
      </c>
    </row>
    <row r="59" spans="1:84" x14ac:dyDescent="0.25">
      <c r="A59" s="4"/>
      <c r="B59" s="3"/>
      <c r="C59" s="3"/>
      <c r="D59" s="3"/>
      <c r="E59" s="3"/>
      <c r="F59" s="3"/>
      <c r="G59" s="3"/>
      <c r="H59" s="3"/>
      <c r="I59" s="4"/>
      <c r="J59" s="4"/>
      <c r="K59" s="3"/>
      <c r="L59" s="3"/>
      <c r="M59" s="3"/>
      <c r="N59" s="3"/>
      <c r="O59" s="3"/>
      <c r="P59" s="3"/>
      <c r="Q59" s="3"/>
      <c r="R59" s="4"/>
      <c r="S59" s="4"/>
      <c r="T59" s="3"/>
      <c r="U59" s="3"/>
      <c r="V59" s="3"/>
      <c r="W59" s="3"/>
      <c r="X59" s="3"/>
      <c r="Y59" s="3"/>
      <c r="Z59" s="3"/>
      <c r="AA59" s="4"/>
      <c r="AB59" s="4"/>
      <c r="AC59" s="3"/>
      <c r="AD59" s="2"/>
      <c r="BU59" s="2" t="s">
        <v>17</v>
      </c>
      <c r="CB59" s="11">
        <v>1</v>
      </c>
      <c r="CC59" s="11">
        <v>1</v>
      </c>
      <c r="CD59" s="11">
        <v>1</v>
      </c>
      <c r="CE59" s="11">
        <v>1</v>
      </c>
      <c r="CF59" s="11">
        <v>1</v>
      </c>
    </row>
    <row r="60" spans="1:84" x14ac:dyDescent="0.25">
      <c r="A60" s="4"/>
      <c r="B60" s="3"/>
      <c r="C60" s="3"/>
      <c r="D60" s="3"/>
      <c r="E60" s="3"/>
      <c r="F60" s="3"/>
      <c r="G60" s="3"/>
      <c r="H60" s="3"/>
      <c r="I60" s="4"/>
      <c r="J60" s="4"/>
      <c r="K60" s="3"/>
      <c r="L60" s="3"/>
      <c r="M60" s="3"/>
      <c r="N60" s="3"/>
      <c r="O60" s="3"/>
      <c r="P60" s="3"/>
      <c r="Q60" s="3"/>
      <c r="R60" s="4"/>
      <c r="S60" s="4"/>
      <c r="T60" s="3"/>
      <c r="U60" s="3"/>
      <c r="V60" s="3"/>
      <c r="W60" s="3"/>
      <c r="X60" s="3"/>
      <c r="Y60" s="3"/>
      <c r="Z60" s="3"/>
      <c r="AA60" s="4"/>
      <c r="AB60" s="4"/>
      <c r="AC60" s="3"/>
      <c r="AD60" s="2"/>
      <c r="BU60" s="2"/>
    </row>
    <row r="61" spans="1:84" x14ac:dyDescent="0.25">
      <c r="A61" s="4"/>
      <c r="B61" s="3"/>
      <c r="C61" s="3"/>
      <c r="D61" s="3"/>
      <c r="E61" s="3"/>
      <c r="F61" s="3"/>
      <c r="G61" s="3"/>
      <c r="H61" s="3"/>
      <c r="I61" s="4"/>
      <c r="J61" s="4"/>
      <c r="K61" s="3"/>
      <c r="L61" s="3"/>
      <c r="M61" s="3"/>
      <c r="N61" s="3"/>
      <c r="O61" s="3"/>
      <c r="P61" s="3"/>
      <c r="Q61" s="3"/>
      <c r="R61" s="4"/>
      <c r="S61" s="4"/>
      <c r="T61" s="3"/>
      <c r="U61" s="3"/>
      <c r="V61" s="3"/>
      <c r="W61" s="3"/>
      <c r="X61" s="3"/>
      <c r="Y61" s="3"/>
      <c r="Z61" s="3"/>
      <c r="AA61" s="4"/>
      <c r="AB61" s="4"/>
      <c r="AC61" s="3"/>
      <c r="AD61" s="2"/>
      <c r="BU61" s="2" t="s">
        <v>1</v>
      </c>
      <c r="CB61" s="11">
        <v>1</v>
      </c>
      <c r="CC61" s="11">
        <v>1</v>
      </c>
      <c r="CD61" s="11">
        <v>1</v>
      </c>
      <c r="CE61" s="11">
        <v>1</v>
      </c>
      <c r="CF61" s="11">
        <v>1</v>
      </c>
    </row>
    <row r="62" spans="1:84" x14ac:dyDescent="0.25">
      <c r="A62" s="4"/>
      <c r="B62" s="3"/>
      <c r="C62" s="3"/>
      <c r="D62" s="3"/>
      <c r="E62" s="3"/>
      <c r="F62" s="3"/>
      <c r="G62" s="3"/>
      <c r="H62" s="3"/>
      <c r="I62" s="4"/>
      <c r="J62" s="4"/>
      <c r="K62" s="3"/>
      <c r="L62" s="3"/>
      <c r="M62" s="3"/>
      <c r="N62" s="3"/>
      <c r="O62" s="3"/>
      <c r="P62" s="3"/>
      <c r="Q62" s="3"/>
      <c r="R62" s="4"/>
      <c r="S62" s="4"/>
      <c r="T62" s="3"/>
      <c r="U62" s="3"/>
      <c r="V62" s="3"/>
      <c r="W62" s="3"/>
      <c r="X62" s="3"/>
      <c r="Y62" s="3"/>
      <c r="Z62" s="3"/>
      <c r="AA62" s="4"/>
      <c r="AB62" s="4"/>
      <c r="AC62" s="3"/>
      <c r="AD62" s="2"/>
      <c r="BU62" s="2" t="s">
        <v>2</v>
      </c>
      <c r="CB62" s="11">
        <v>1</v>
      </c>
      <c r="CC62" s="11">
        <v>1</v>
      </c>
      <c r="CD62" s="11">
        <v>1</v>
      </c>
      <c r="CE62" s="11">
        <v>1</v>
      </c>
      <c r="CF62" s="11">
        <v>1</v>
      </c>
    </row>
    <row r="63" spans="1:84" x14ac:dyDescent="0.25">
      <c r="A63" s="4"/>
      <c r="B63" s="3"/>
      <c r="C63" s="3"/>
      <c r="D63" s="3"/>
      <c r="E63" s="3"/>
      <c r="F63" s="3"/>
      <c r="G63" s="3"/>
      <c r="H63" s="3"/>
      <c r="I63" s="4"/>
      <c r="J63" s="4"/>
      <c r="K63" s="3"/>
      <c r="L63" s="3"/>
      <c r="M63" s="3"/>
      <c r="N63" s="3"/>
      <c r="O63" s="3"/>
      <c r="P63" s="3"/>
      <c r="Q63" s="3"/>
      <c r="R63" s="4"/>
      <c r="S63" s="4"/>
      <c r="T63" s="3"/>
      <c r="U63" s="3"/>
      <c r="V63" s="3"/>
      <c r="W63" s="3"/>
      <c r="X63" s="3"/>
      <c r="Y63" s="3"/>
      <c r="Z63" s="3"/>
      <c r="AA63" s="4"/>
      <c r="AB63" s="4"/>
      <c r="AC63" s="3"/>
      <c r="AD63" s="2"/>
      <c r="BU63" s="2" t="s">
        <v>3</v>
      </c>
      <c r="CB63" s="11">
        <v>1</v>
      </c>
      <c r="CC63" s="11">
        <v>1</v>
      </c>
      <c r="CD63" s="11">
        <v>1</v>
      </c>
      <c r="CE63" s="11">
        <v>1</v>
      </c>
      <c r="CF63" s="11">
        <v>1</v>
      </c>
    </row>
    <row r="64" spans="1:84" x14ac:dyDescent="0.25">
      <c r="A64" s="4"/>
      <c r="B64" s="3"/>
      <c r="C64" s="3"/>
      <c r="D64" s="3"/>
      <c r="E64" s="3"/>
      <c r="F64" s="3"/>
      <c r="G64" s="3"/>
      <c r="H64" s="3"/>
      <c r="I64" s="4"/>
      <c r="J64" s="4"/>
      <c r="K64" s="3"/>
      <c r="L64" s="3"/>
      <c r="M64" s="3"/>
      <c r="N64" s="3"/>
      <c r="O64" s="3"/>
      <c r="P64" s="3"/>
      <c r="Q64" s="3"/>
      <c r="R64" s="4"/>
      <c r="S64" s="4"/>
      <c r="T64" s="3"/>
      <c r="U64" s="3"/>
      <c r="V64" s="3"/>
      <c r="W64" s="3"/>
      <c r="X64" s="3"/>
      <c r="Y64" s="3"/>
      <c r="Z64" s="3"/>
      <c r="AA64" s="4"/>
      <c r="AB64" s="4"/>
      <c r="AC64" s="3"/>
      <c r="AD64" s="2"/>
      <c r="BU64" s="2"/>
    </row>
    <row r="65" spans="1:84" x14ac:dyDescent="0.25">
      <c r="A65" s="4"/>
      <c r="B65" s="3"/>
      <c r="C65" s="3"/>
      <c r="D65" s="3"/>
      <c r="E65" s="3"/>
      <c r="F65" s="3"/>
      <c r="G65" s="3"/>
      <c r="H65" s="3"/>
      <c r="I65" s="4"/>
      <c r="J65" s="4"/>
      <c r="K65" s="3"/>
      <c r="L65" s="3"/>
      <c r="M65" s="3"/>
      <c r="N65" s="3"/>
      <c r="O65" s="3"/>
      <c r="P65" s="3"/>
      <c r="Q65" s="3"/>
      <c r="R65" s="4"/>
      <c r="S65" s="4"/>
      <c r="T65" s="3"/>
      <c r="U65" s="3"/>
      <c r="V65" s="3"/>
      <c r="W65" s="3"/>
      <c r="X65" s="3"/>
      <c r="Y65" s="3"/>
      <c r="Z65" s="3"/>
      <c r="AA65" s="4"/>
      <c r="AB65" s="4"/>
      <c r="AC65" s="3"/>
      <c r="AD65" s="2"/>
      <c r="BU65" s="2" t="s">
        <v>16</v>
      </c>
      <c r="CB65" s="11">
        <v>1</v>
      </c>
      <c r="CC65" s="11">
        <v>1</v>
      </c>
      <c r="CD65" s="11">
        <v>1</v>
      </c>
      <c r="CE65" s="11">
        <v>1</v>
      </c>
      <c r="CF65" s="11">
        <v>1</v>
      </c>
    </row>
    <row r="66" spans="1:84" x14ac:dyDescent="0.25">
      <c r="A66" s="4"/>
      <c r="B66" s="3"/>
      <c r="C66" s="3"/>
      <c r="D66" s="3"/>
      <c r="E66" s="3"/>
      <c r="F66" s="3"/>
      <c r="G66" s="3"/>
      <c r="H66" s="3"/>
      <c r="I66" s="4"/>
      <c r="J66" s="4"/>
      <c r="K66" s="3"/>
      <c r="L66" s="3"/>
      <c r="M66" s="3"/>
      <c r="N66" s="3"/>
      <c r="O66" s="3"/>
      <c r="P66" s="3"/>
      <c r="Q66" s="3"/>
      <c r="R66" s="4"/>
      <c r="S66" s="4"/>
      <c r="T66" s="3"/>
      <c r="U66" s="3"/>
      <c r="V66" s="3"/>
      <c r="W66" s="3"/>
      <c r="X66" s="3"/>
      <c r="Y66" s="3"/>
      <c r="Z66" s="3"/>
      <c r="AA66" s="4"/>
      <c r="AB66" s="4"/>
      <c r="AC66" s="3"/>
      <c r="AD66" s="2"/>
      <c r="BU66" s="2" t="s">
        <v>15</v>
      </c>
      <c r="CB66" s="11">
        <v>1</v>
      </c>
      <c r="CC66" s="11">
        <v>1</v>
      </c>
      <c r="CD66" s="11">
        <v>1</v>
      </c>
      <c r="CE66" s="11">
        <v>1</v>
      </c>
      <c r="CF66" s="11">
        <v>1</v>
      </c>
    </row>
    <row r="67" spans="1:84" x14ac:dyDescent="0.25">
      <c r="A67" s="4"/>
      <c r="B67" s="3"/>
      <c r="C67" s="3"/>
      <c r="D67" s="3"/>
      <c r="E67" s="3"/>
      <c r="F67" s="3"/>
      <c r="G67" s="3"/>
      <c r="H67" s="3"/>
      <c r="I67" s="4"/>
      <c r="J67" s="4"/>
      <c r="K67" s="3"/>
      <c r="L67" s="3"/>
      <c r="M67" s="3"/>
      <c r="N67" s="3"/>
      <c r="O67" s="3"/>
      <c r="P67" s="3"/>
      <c r="Q67" s="3"/>
      <c r="R67" s="4"/>
      <c r="S67" s="4"/>
      <c r="T67" s="3"/>
      <c r="U67" s="3"/>
      <c r="V67" s="3"/>
      <c r="W67" s="3"/>
      <c r="X67" s="3"/>
      <c r="Y67" s="3"/>
      <c r="Z67" s="3"/>
      <c r="AA67" s="4"/>
      <c r="AB67" s="4"/>
      <c r="AC67" s="3"/>
      <c r="AD67" s="2"/>
    </row>
    <row r="68" spans="1:84" x14ac:dyDescent="0.25">
      <c r="A68" s="4"/>
      <c r="B68" s="3"/>
      <c r="C68" s="3"/>
      <c r="D68" s="3"/>
      <c r="E68" s="3"/>
      <c r="F68" s="3"/>
      <c r="G68" s="3"/>
      <c r="H68" s="3"/>
      <c r="I68" s="4"/>
      <c r="J68" s="4"/>
      <c r="K68" s="3"/>
      <c r="L68" s="3"/>
      <c r="M68" s="3"/>
      <c r="N68" s="3"/>
      <c r="O68" s="3"/>
      <c r="P68" s="3"/>
      <c r="Q68" s="3"/>
      <c r="R68" s="4"/>
      <c r="S68" s="4"/>
      <c r="T68" s="3"/>
      <c r="U68" s="3"/>
      <c r="V68" s="3"/>
      <c r="W68" s="3"/>
      <c r="X68" s="3"/>
      <c r="Y68" s="3"/>
      <c r="Z68" s="3"/>
      <c r="AA68" s="4"/>
      <c r="AB68" s="4"/>
      <c r="AC68" s="3"/>
      <c r="AD68" s="2"/>
    </row>
    <row r="69" spans="1:84" x14ac:dyDescent="0.25">
      <c r="A69" s="4"/>
      <c r="B69" s="3"/>
      <c r="C69" s="3"/>
      <c r="D69" s="3"/>
      <c r="E69" s="3"/>
      <c r="F69" s="3"/>
      <c r="G69" s="3"/>
      <c r="H69" s="3"/>
      <c r="I69" s="4"/>
      <c r="J69" s="4"/>
      <c r="K69" s="3"/>
      <c r="L69" s="3"/>
      <c r="M69" s="3"/>
      <c r="N69" s="3"/>
      <c r="O69" s="3"/>
      <c r="P69" s="3"/>
      <c r="Q69" s="3"/>
      <c r="R69" s="4"/>
      <c r="S69" s="4"/>
      <c r="T69" s="3"/>
      <c r="U69" s="3"/>
      <c r="V69" s="3"/>
      <c r="W69" s="3"/>
      <c r="X69" s="3"/>
      <c r="Y69" s="3"/>
      <c r="Z69" s="3"/>
      <c r="AA69" s="4"/>
      <c r="AB69" s="4"/>
      <c r="AC69" s="3"/>
      <c r="AD69" s="2"/>
    </row>
    <row r="70" spans="1:84" x14ac:dyDescent="0.25">
      <c r="A70" s="4"/>
      <c r="B70" s="3"/>
      <c r="C70" s="3"/>
      <c r="D70" s="3"/>
      <c r="E70" s="3"/>
      <c r="F70" s="3"/>
      <c r="G70" s="3"/>
      <c r="H70" s="3"/>
      <c r="I70" s="4"/>
      <c r="J70" s="4"/>
      <c r="K70" s="3"/>
      <c r="L70" s="3"/>
      <c r="M70" s="3"/>
      <c r="N70" s="3"/>
      <c r="O70" s="3"/>
      <c r="P70" s="3"/>
      <c r="Q70" s="3"/>
      <c r="R70" s="4"/>
      <c r="S70" s="4"/>
      <c r="T70" s="3"/>
      <c r="U70" s="3"/>
      <c r="V70" s="3"/>
      <c r="W70" s="3"/>
      <c r="X70" s="3"/>
      <c r="Y70" s="3"/>
      <c r="Z70" s="3"/>
      <c r="AA70" s="4"/>
      <c r="AB70" s="4"/>
      <c r="AC70" s="3"/>
      <c r="AD70" s="2"/>
    </row>
    <row r="71" spans="1:84" x14ac:dyDescent="0.25">
      <c r="A71" s="4"/>
      <c r="B71" s="3"/>
      <c r="C71" s="3"/>
      <c r="D71" s="3"/>
      <c r="E71" s="3"/>
      <c r="F71" s="3"/>
      <c r="G71" s="3"/>
      <c r="H71" s="3"/>
      <c r="I71" s="4"/>
      <c r="J71" s="4"/>
      <c r="K71" s="3"/>
      <c r="L71" s="3"/>
      <c r="M71" s="3"/>
      <c r="N71" s="3"/>
      <c r="O71" s="3"/>
      <c r="P71" s="3"/>
      <c r="Q71" s="3"/>
      <c r="R71" s="4"/>
      <c r="S71" s="4"/>
      <c r="T71" s="3"/>
      <c r="U71" s="3"/>
      <c r="V71" s="3"/>
      <c r="W71" s="3"/>
      <c r="X71" s="3"/>
      <c r="Y71" s="3"/>
      <c r="Z71" s="3"/>
      <c r="AA71" s="4"/>
      <c r="AB71" s="4"/>
      <c r="AC71" s="3"/>
      <c r="AD71" s="2"/>
    </row>
    <row r="72" spans="1:84" x14ac:dyDescent="0.25">
      <c r="A72" s="4"/>
      <c r="B72" s="3"/>
      <c r="C72" s="3"/>
      <c r="D72" s="3"/>
      <c r="E72" s="3"/>
      <c r="F72" s="3"/>
      <c r="G72" s="3"/>
      <c r="H72" s="3"/>
      <c r="I72" s="4"/>
      <c r="J72" s="4"/>
      <c r="K72" s="3"/>
      <c r="L72" s="3"/>
      <c r="M72" s="3"/>
      <c r="N72" s="3"/>
      <c r="O72" s="3"/>
      <c r="P72" s="3"/>
      <c r="Q72" s="3"/>
      <c r="R72" s="4"/>
      <c r="S72" s="4"/>
      <c r="T72" s="3"/>
      <c r="U72" s="3"/>
      <c r="V72" s="3"/>
      <c r="W72" s="3"/>
      <c r="X72" s="3"/>
      <c r="Y72" s="3"/>
      <c r="Z72" s="3"/>
      <c r="AA72" s="4"/>
      <c r="AB72" s="4"/>
      <c r="AC72" s="3"/>
      <c r="AD72" s="2"/>
    </row>
    <row r="73" spans="1:84" x14ac:dyDescent="0.25">
      <c r="A73" s="4"/>
      <c r="B73" s="3"/>
      <c r="C73" s="3"/>
      <c r="D73" s="3"/>
      <c r="E73" s="3"/>
      <c r="F73" s="3"/>
      <c r="G73" s="3"/>
      <c r="H73" s="3"/>
      <c r="I73" s="4"/>
      <c r="J73" s="4"/>
      <c r="K73" s="3"/>
      <c r="L73" s="3"/>
      <c r="M73" s="3"/>
      <c r="N73" s="3"/>
      <c r="O73" s="3"/>
      <c r="P73" s="3"/>
      <c r="Q73" s="3"/>
      <c r="R73" s="4"/>
      <c r="S73" s="4"/>
      <c r="T73" s="3"/>
      <c r="U73" s="3"/>
      <c r="V73" s="3"/>
      <c r="W73" s="3"/>
      <c r="X73" s="3"/>
      <c r="Y73" s="3"/>
      <c r="Z73" s="3"/>
      <c r="AA73" s="4"/>
      <c r="AB73" s="4"/>
      <c r="AC73" s="3"/>
      <c r="AD73" s="2"/>
    </row>
    <row r="74" spans="1:84" x14ac:dyDescent="0.25">
      <c r="A74" s="4"/>
      <c r="B74" s="3"/>
      <c r="C74" s="3"/>
      <c r="D74" s="3"/>
      <c r="E74" s="3"/>
      <c r="F74" s="3"/>
      <c r="G74" s="3"/>
      <c r="H74" s="3"/>
      <c r="I74" s="4"/>
      <c r="J74" s="4"/>
      <c r="K74" s="3"/>
      <c r="L74" s="3"/>
      <c r="M74" s="3"/>
      <c r="N74" s="3"/>
      <c r="O74" s="3"/>
      <c r="P74" s="3"/>
      <c r="Q74" s="3"/>
      <c r="R74" s="4"/>
      <c r="S74" s="4"/>
      <c r="T74" s="3"/>
      <c r="U74" s="3"/>
      <c r="V74" s="3"/>
      <c r="W74" s="3"/>
      <c r="X74" s="3"/>
      <c r="Y74" s="3"/>
      <c r="Z74" s="3"/>
      <c r="AA74" s="4"/>
      <c r="AB74" s="4"/>
      <c r="AC74" s="3"/>
      <c r="AD74" s="2"/>
      <c r="AE74" s="2"/>
      <c r="AF74" s="2"/>
      <c r="AG74" s="2"/>
      <c r="AH74" s="2"/>
      <c r="AI74" s="2"/>
      <c r="AJ74" s="2"/>
    </row>
    <row r="75" spans="1:84" x14ac:dyDescent="0.25">
      <c r="A75" s="4"/>
      <c r="B75" s="3"/>
      <c r="C75" s="3"/>
      <c r="D75" s="3"/>
      <c r="E75" s="3"/>
      <c r="F75" s="3"/>
      <c r="G75" s="3"/>
      <c r="H75" s="3"/>
      <c r="I75" s="4"/>
      <c r="J75" s="4"/>
      <c r="K75" s="3"/>
      <c r="L75" s="3"/>
      <c r="M75" s="3"/>
      <c r="N75" s="3"/>
      <c r="O75" s="3"/>
      <c r="P75" s="3"/>
      <c r="Q75" s="3"/>
      <c r="R75" s="4"/>
      <c r="S75" s="4"/>
      <c r="T75" s="3"/>
      <c r="U75" s="3"/>
      <c r="V75" s="3"/>
      <c r="W75" s="3"/>
      <c r="X75" s="3"/>
      <c r="Y75" s="3"/>
      <c r="Z75" s="3"/>
      <c r="AA75" s="4"/>
      <c r="AB75" s="4"/>
      <c r="AC75" s="3"/>
      <c r="AD75" s="2"/>
      <c r="AE75" s="2"/>
      <c r="AF75" s="2"/>
      <c r="AG75" s="2"/>
      <c r="AH75" s="2"/>
      <c r="AI75" s="2"/>
      <c r="AJ75" s="2"/>
    </row>
    <row r="76" spans="1:84" x14ac:dyDescent="0.25">
      <c r="A76" s="4"/>
      <c r="B76" s="4"/>
      <c r="C76" s="3"/>
      <c r="D76" s="3"/>
      <c r="E76" s="3"/>
      <c r="F76" s="3"/>
      <c r="G76" s="3"/>
      <c r="H76" s="3"/>
      <c r="I76" s="4"/>
      <c r="J76" s="4"/>
      <c r="K76" s="4"/>
      <c r="L76" s="3"/>
      <c r="M76" s="3"/>
      <c r="N76" s="3"/>
      <c r="O76" s="3"/>
      <c r="P76" s="3"/>
      <c r="Q76" s="3"/>
      <c r="R76" s="4"/>
      <c r="S76" s="4"/>
      <c r="T76" s="4"/>
      <c r="U76" s="3"/>
      <c r="V76" s="3"/>
      <c r="W76" s="3"/>
      <c r="X76" s="3"/>
      <c r="Y76" s="3"/>
      <c r="Z76" s="3"/>
      <c r="AA76" s="4"/>
      <c r="AB76" s="4"/>
      <c r="AC76" s="3"/>
      <c r="AD76" s="2"/>
      <c r="AE76" s="2"/>
      <c r="AF76" s="2"/>
      <c r="AG76" s="2"/>
      <c r="AH76" s="2"/>
      <c r="AI76" s="2"/>
      <c r="AJ76" s="2"/>
    </row>
    <row r="77" spans="1:84" x14ac:dyDescent="0.25">
      <c r="A77" s="4"/>
      <c r="B77" s="3"/>
      <c r="C77" s="3"/>
      <c r="D77" s="3"/>
      <c r="E77" s="3"/>
      <c r="F77" s="3"/>
      <c r="G77" s="3"/>
      <c r="H77" s="3"/>
      <c r="I77" s="4"/>
      <c r="J77" s="4"/>
      <c r="K77" s="3"/>
      <c r="L77" s="3"/>
      <c r="M77" s="3"/>
      <c r="N77" s="3"/>
      <c r="O77" s="3"/>
      <c r="P77" s="3"/>
      <c r="Q77" s="3"/>
      <c r="R77" s="4"/>
      <c r="S77" s="4"/>
      <c r="T77" s="3"/>
      <c r="U77" s="3"/>
      <c r="V77" s="3"/>
      <c r="W77" s="3"/>
      <c r="X77" s="3"/>
      <c r="Y77" s="3"/>
      <c r="Z77" s="3"/>
      <c r="AA77" s="4"/>
      <c r="AB77" s="4"/>
      <c r="AC77" s="3"/>
      <c r="AD77" s="2"/>
      <c r="AE77" s="2"/>
      <c r="AF77" s="2"/>
      <c r="AG77" s="2"/>
      <c r="AH77" s="2"/>
      <c r="AI77" s="2"/>
      <c r="AJ77" s="2"/>
    </row>
    <row r="78" spans="1:84" x14ac:dyDescent="0.25">
      <c r="A78" s="4"/>
      <c r="B78" s="3"/>
      <c r="C78" s="3"/>
      <c r="D78" s="3"/>
      <c r="E78" s="3"/>
      <c r="F78" s="3"/>
      <c r="G78" s="3"/>
      <c r="H78" s="3"/>
      <c r="I78" s="4"/>
      <c r="J78" s="4"/>
      <c r="K78" s="3"/>
      <c r="L78" s="3"/>
      <c r="M78" s="3"/>
      <c r="N78" s="3"/>
      <c r="O78" s="3"/>
      <c r="P78" s="3"/>
      <c r="Q78" s="3"/>
      <c r="R78" s="4"/>
      <c r="S78" s="4"/>
      <c r="T78" s="3"/>
      <c r="U78" s="3"/>
      <c r="V78" s="3"/>
      <c r="W78" s="3"/>
      <c r="X78" s="3"/>
      <c r="Y78" s="3"/>
      <c r="Z78" s="3"/>
      <c r="AA78" s="4"/>
      <c r="AB78" s="4"/>
      <c r="AC78" s="3"/>
      <c r="AD78" s="2"/>
      <c r="AE78" s="2"/>
      <c r="AF78" s="2"/>
      <c r="AG78" s="2"/>
      <c r="AH78" s="2"/>
      <c r="AI78" s="2"/>
      <c r="AJ78" s="2"/>
    </row>
    <row r="79" spans="1:84" x14ac:dyDescent="0.25">
      <c r="A79" s="4"/>
      <c r="B79" s="3"/>
      <c r="C79" s="3"/>
      <c r="D79" s="3"/>
      <c r="E79" s="3"/>
      <c r="F79" s="3"/>
      <c r="G79" s="3"/>
      <c r="H79" s="3"/>
      <c r="I79" s="4"/>
      <c r="J79" s="4"/>
      <c r="K79" s="3"/>
      <c r="L79" s="3"/>
      <c r="M79" s="3"/>
      <c r="N79" s="3"/>
      <c r="O79" s="3"/>
      <c r="P79" s="3"/>
      <c r="Q79" s="3"/>
      <c r="R79" s="4"/>
      <c r="S79" s="4"/>
      <c r="T79" s="3"/>
      <c r="U79" s="3"/>
      <c r="V79" s="3"/>
      <c r="W79" s="3"/>
      <c r="X79" s="3"/>
      <c r="Y79" s="3"/>
      <c r="Z79" s="3"/>
      <c r="AA79" s="4"/>
      <c r="AB79" s="4"/>
      <c r="AC79" s="3"/>
      <c r="AD79" s="2"/>
      <c r="AE79" s="2"/>
      <c r="AF79" s="2"/>
      <c r="AG79" s="2"/>
      <c r="AH79" s="2"/>
      <c r="AI79" s="2"/>
      <c r="AJ79" s="2"/>
    </row>
    <row r="80" spans="1:84" x14ac:dyDescent="0.25">
      <c r="A80" s="4"/>
      <c r="B80" s="3"/>
      <c r="C80" s="3"/>
      <c r="D80" s="3"/>
      <c r="E80" s="3"/>
      <c r="F80" s="3"/>
      <c r="G80" s="3"/>
      <c r="H80" s="3"/>
      <c r="I80" s="4"/>
      <c r="J80" s="4"/>
      <c r="K80" s="3"/>
      <c r="L80" s="3"/>
      <c r="M80" s="3"/>
      <c r="N80" s="3"/>
      <c r="O80" s="3"/>
      <c r="P80" s="3"/>
      <c r="Q80" s="3"/>
      <c r="R80" s="4"/>
      <c r="S80" s="4"/>
      <c r="T80" s="3"/>
      <c r="U80" s="3"/>
      <c r="V80" s="3"/>
      <c r="W80" s="3"/>
      <c r="X80" s="3"/>
      <c r="Y80" s="3"/>
      <c r="Z80" s="3"/>
      <c r="AA80" s="4"/>
      <c r="AB80" s="4"/>
      <c r="AC80" s="3"/>
      <c r="AD80" s="2"/>
      <c r="AE80" s="2"/>
      <c r="AF80" s="2"/>
      <c r="AG80" s="2"/>
      <c r="AH80" s="2"/>
      <c r="AI80" s="2"/>
      <c r="AJ80" s="2"/>
    </row>
    <row r="81" spans="1:36" x14ac:dyDescent="0.25">
      <c r="A81" s="4"/>
      <c r="B81" s="3"/>
      <c r="C81" s="3"/>
      <c r="D81" s="3"/>
      <c r="E81" s="3"/>
      <c r="F81" s="3"/>
      <c r="G81" s="3"/>
      <c r="H81" s="3"/>
      <c r="I81" s="4"/>
      <c r="J81" s="4"/>
      <c r="K81" s="3"/>
      <c r="L81" s="3"/>
      <c r="M81" s="3"/>
      <c r="N81" s="3"/>
      <c r="O81" s="3"/>
      <c r="P81" s="3"/>
      <c r="Q81" s="3"/>
      <c r="R81" s="4"/>
      <c r="S81" s="4"/>
      <c r="T81" s="3"/>
      <c r="U81" s="3"/>
      <c r="V81" s="3"/>
      <c r="W81" s="3"/>
      <c r="X81" s="3"/>
      <c r="Y81" s="3"/>
      <c r="Z81" s="3"/>
      <c r="AA81" s="4"/>
      <c r="AB81" s="4"/>
      <c r="AC81" s="3"/>
      <c r="AD81" s="2"/>
      <c r="AE81" s="2"/>
      <c r="AF81" s="2"/>
      <c r="AG81" s="2"/>
      <c r="AH81" s="2"/>
      <c r="AI81" s="2"/>
      <c r="AJ81" s="2"/>
    </row>
    <row r="82" spans="1:36" x14ac:dyDescent="0.25">
      <c r="A82" s="4"/>
      <c r="B82" s="3"/>
      <c r="C82" s="3"/>
      <c r="D82" s="3"/>
      <c r="E82" s="3"/>
      <c r="F82" s="3"/>
      <c r="G82" s="3"/>
      <c r="H82" s="3"/>
      <c r="I82" s="4"/>
      <c r="J82" s="4"/>
      <c r="K82" s="3"/>
      <c r="L82" s="3"/>
      <c r="M82" s="3"/>
      <c r="N82" s="3"/>
      <c r="O82" s="3"/>
      <c r="P82" s="3"/>
      <c r="Q82" s="3"/>
      <c r="R82" s="4"/>
      <c r="S82" s="4"/>
      <c r="T82" s="3"/>
      <c r="U82" s="3"/>
      <c r="V82" s="3"/>
      <c r="W82" s="3"/>
      <c r="X82" s="3"/>
      <c r="Y82" s="3"/>
      <c r="Z82" s="3"/>
      <c r="AA82" s="4"/>
      <c r="AB82" s="4"/>
      <c r="AC82" s="3"/>
      <c r="AD82" s="2"/>
      <c r="AE82" s="2"/>
      <c r="AF82" s="2"/>
      <c r="AG82" s="2"/>
      <c r="AH82" s="2"/>
      <c r="AI82" s="2"/>
      <c r="AJ82" s="2"/>
    </row>
    <row r="83" spans="1:36" x14ac:dyDescent="0.25">
      <c r="A83" s="4"/>
      <c r="B83" s="3"/>
      <c r="C83" s="3"/>
      <c r="D83" s="3"/>
      <c r="E83" s="3"/>
      <c r="F83" s="3"/>
      <c r="G83" s="3"/>
      <c r="H83" s="3"/>
      <c r="I83" s="4"/>
      <c r="J83" s="4"/>
      <c r="K83" s="3"/>
      <c r="L83" s="3"/>
      <c r="M83" s="3"/>
      <c r="N83" s="3"/>
      <c r="O83" s="3"/>
      <c r="P83" s="3"/>
      <c r="Q83" s="3"/>
      <c r="R83" s="4"/>
      <c r="S83" s="4"/>
      <c r="T83" s="3"/>
      <c r="U83" s="3"/>
      <c r="V83" s="3"/>
      <c r="W83" s="3"/>
      <c r="X83" s="3"/>
      <c r="Y83" s="3"/>
      <c r="Z83" s="3"/>
      <c r="AA83" s="4"/>
      <c r="AB83" s="4"/>
      <c r="AC83" s="3"/>
      <c r="AD83" s="2"/>
      <c r="AE83" s="2"/>
      <c r="AF83" s="2"/>
      <c r="AG83" s="2"/>
      <c r="AH83" s="2"/>
      <c r="AI83" s="2"/>
      <c r="AJ83" s="2"/>
    </row>
    <row r="84" spans="1:36" x14ac:dyDescent="0.25">
      <c r="A84" s="4"/>
      <c r="B84" s="3"/>
      <c r="C84" s="3"/>
      <c r="D84" s="3"/>
      <c r="E84" s="3"/>
      <c r="F84" s="3"/>
      <c r="G84" s="3"/>
      <c r="H84" s="3"/>
      <c r="I84" s="4"/>
      <c r="J84" s="4"/>
      <c r="K84" s="3"/>
      <c r="L84" s="3"/>
      <c r="M84" s="3"/>
      <c r="N84" s="3"/>
      <c r="O84" s="3"/>
      <c r="P84" s="3"/>
      <c r="Q84" s="3"/>
      <c r="R84" s="4"/>
      <c r="S84" s="4"/>
      <c r="T84" s="3"/>
      <c r="U84" s="3"/>
      <c r="V84" s="3"/>
      <c r="W84" s="3"/>
      <c r="X84" s="3"/>
      <c r="Y84" s="3"/>
      <c r="Z84" s="3"/>
      <c r="AA84" s="4"/>
      <c r="AB84" s="4"/>
      <c r="AC84" s="3"/>
      <c r="AD84" s="2"/>
      <c r="AE84" s="2"/>
      <c r="AF84" s="2"/>
      <c r="AG84" s="2"/>
      <c r="AH84" s="2"/>
      <c r="AI84" s="2"/>
      <c r="AJ84" s="2"/>
    </row>
    <row r="85" spans="1:36" x14ac:dyDescent="0.25">
      <c r="A85" s="4"/>
      <c r="B85" s="3"/>
      <c r="C85" s="3"/>
      <c r="D85" s="3"/>
      <c r="E85" s="3"/>
      <c r="F85" s="3"/>
      <c r="G85" s="3"/>
      <c r="H85" s="3"/>
      <c r="I85" s="4"/>
      <c r="J85" s="4"/>
      <c r="K85" s="3"/>
      <c r="L85" s="3"/>
      <c r="M85" s="3"/>
      <c r="N85" s="3"/>
      <c r="O85" s="3"/>
      <c r="P85" s="3"/>
      <c r="Q85" s="3"/>
      <c r="R85" s="4"/>
      <c r="S85" s="4"/>
      <c r="T85" s="3"/>
      <c r="U85" s="3"/>
      <c r="V85" s="3"/>
      <c r="W85" s="3"/>
      <c r="X85" s="3"/>
      <c r="Y85" s="3"/>
      <c r="Z85" s="3"/>
      <c r="AA85" s="4"/>
      <c r="AB85" s="4"/>
      <c r="AC85" s="3"/>
      <c r="AD85" s="2"/>
      <c r="AE85" s="2"/>
      <c r="AF85" s="2"/>
      <c r="AG85" s="2"/>
      <c r="AH85" s="2"/>
      <c r="AI85" s="2"/>
      <c r="AJ85" s="2"/>
    </row>
    <row r="86" spans="1:36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2"/>
      <c r="AE86" s="2"/>
      <c r="AF86" s="2"/>
      <c r="AG86" s="2"/>
      <c r="AH86" s="2"/>
      <c r="AI86" s="2"/>
      <c r="AJ86" s="2"/>
    </row>
    <row r="87" spans="1:36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2"/>
      <c r="AE87" s="2"/>
      <c r="AF87" s="2"/>
      <c r="AG87" s="2"/>
      <c r="AH87" s="2"/>
      <c r="AI87" s="2"/>
      <c r="AJ87" s="2"/>
    </row>
    <row r="88" spans="1:36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2"/>
      <c r="AE88" s="2"/>
      <c r="AF88" s="2"/>
      <c r="AG88" s="2"/>
      <c r="AH88" s="2"/>
      <c r="AI88" s="2"/>
      <c r="AJ88" s="2"/>
    </row>
    <row r="89" spans="1:36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2"/>
      <c r="AE89" s="2"/>
      <c r="AF89" s="2"/>
      <c r="AG89" s="2"/>
      <c r="AH89" s="2"/>
      <c r="AI89" s="2"/>
      <c r="AJ89" s="2"/>
    </row>
    <row r="90" spans="1:36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2"/>
      <c r="AE90" s="2"/>
      <c r="AF90" s="2"/>
      <c r="AG90" s="2"/>
      <c r="AH90" s="2"/>
      <c r="AI90" s="2"/>
      <c r="AJ90" s="2"/>
    </row>
    <row r="91" spans="1:36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2"/>
      <c r="AE91" s="2"/>
      <c r="AF91" s="2"/>
      <c r="AG91" s="2"/>
      <c r="AH91" s="2"/>
      <c r="AI91" s="2"/>
      <c r="AJ91" s="2"/>
    </row>
    <row r="92" spans="1:36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2"/>
      <c r="AE92" s="2"/>
      <c r="AF92" s="2"/>
      <c r="AG92" s="2"/>
      <c r="AH92" s="2"/>
      <c r="AI92" s="2"/>
      <c r="AJ92" s="2"/>
    </row>
    <row r="93" spans="1:36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2"/>
      <c r="AE93" s="2"/>
      <c r="AF93" s="2"/>
      <c r="AG93" s="2"/>
      <c r="AH93" s="2"/>
      <c r="AI93" s="2"/>
      <c r="AJ93" s="2"/>
    </row>
    <row r="94" spans="1:3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workbookViewId="0"/>
  </sheetViews>
  <sheetFormatPr defaultRowHeight="13.8" x14ac:dyDescent="0.25"/>
  <cols>
    <col min="1" max="1" width="26.44140625" customWidth="1"/>
  </cols>
  <sheetData>
    <row r="1" spans="1:32" x14ac:dyDescent="0.25">
      <c r="A1" s="208"/>
      <c r="B1" s="303" t="s">
        <v>6</v>
      </c>
      <c r="C1" s="303" t="s">
        <v>9</v>
      </c>
      <c r="D1" s="303" t="s">
        <v>46</v>
      </c>
      <c r="E1" s="303" t="s">
        <v>97</v>
      </c>
      <c r="F1" s="303" t="s">
        <v>10</v>
      </c>
      <c r="G1" s="303" t="s">
        <v>11</v>
      </c>
      <c r="H1" s="307" t="s">
        <v>98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25">
      <c r="A2" s="306" t="s">
        <v>95</v>
      </c>
      <c r="B2" s="190" t="s">
        <v>94</v>
      </c>
      <c r="C2" s="190" t="s">
        <v>94</v>
      </c>
      <c r="D2" s="190" t="s">
        <v>94</v>
      </c>
      <c r="E2" s="190" t="s">
        <v>94</v>
      </c>
      <c r="F2" s="190" t="s">
        <v>94</v>
      </c>
      <c r="G2" s="190" t="s">
        <v>94</v>
      </c>
      <c r="H2" s="304" t="s">
        <v>99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25">
      <c r="A3" s="203" t="s">
        <v>61</v>
      </c>
      <c r="B3" s="302" t="e">
        <f>MIN(#REF!,#REF!)</f>
        <v>#REF!</v>
      </c>
      <c r="C3" s="302" t="e">
        <f>MIN(#REF!,#REF!)</f>
        <v>#REF!</v>
      </c>
      <c r="D3" s="302" t="e">
        <f>MIN(#REF!,#REF!)</f>
        <v>#REF!</v>
      </c>
      <c r="E3" s="302" t="e">
        <f>MIN(#REF!,#REF!)</f>
        <v>#REF!</v>
      </c>
      <c r="F3" s="302" t="e">
        <f>MIN(#REF!,#REF!)</f>
        <v>#REF!</v>
      </c>
      <c r="G3" s="302" t="e">
        <f>MIN(#REF!,#REF!)</f>
        <v>#REF!</v>
      </c>
      <c r="H3" s="308">
        <v>435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x14ac:dyDescent="0.25">
      <c r="A4" s="305"/>
      <c r="B4" s="205" t="s">
        <v>5</v>
      </c>
      <c r="C4" s="206"/>
      <c r="D4" s="206"/>
      <c r="E4" s="206"/>
      <c r="F4" s="206"/>
      <c r="G4" s="207"/>
      <c r="H4" s="20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25">
      <c r="A5" s="204" t="s">
        <v>82</v>
      </c>
      <c r="B5" s="296" t="e">
        <f>AVERAGE(#REF!)</f>
        <v>#REF!</v>
      </c>
      <c r="C5" s="296" t="e">
        <f>AVERAGE(#REF!)</f>
        <v>#REF!</v>
      </c>
      <c r="D5" s="296" t="e">
        <f>AVERAGE(#REF!)</f>
        <v>#REF!</v>
      </c>
      <c r="E5" s="296" t="e">
        <f>AVERAGE(#REF!)</f>
        <v>#REF!</v>
      </c>
      <c r="F5" s="296" t="e">
        <f>AVERAGE(#REF!)</f>
        <v>#REF!</v>
      </c>
      <c r="G5" s="296" t="e">
        <f>#REF!</f>
        <v>#REF!</v>
      </c>
      <c r="H5" s="298">
        <v>2.5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x14ac:dyDescent="0.25">
      <c r="A6" s="305"/>
      <c r="B6" s="205" t="s">
        <v>96</v>
      </c>
      <c r="C6" s="206"/>
      <c r="D6" s="206"/>
      <c r="E6" s="206"/>
      <c r="F6" s="206"/>
      <c r="G6" s="207"/>
      <c r="H6" s="28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x14ac:dyDescent="0.25">
      <c r="A7" s="204" t="s">
        <v>82</v>
      </c>
      <c r="B7" s="296" t="e">
        <f>AVERAGE(#REF!)</f>
        <v>#REF!</v>
      </c>
      <c r="C7" s="296" t="e">
        <f>AVERAGE(#REF!)</f>
        <v>#REF!</v>
      </c>
      <c r="D7" s="296" t="e">
        <f>AVERAGE(#REF!)</f>
        <v>#REF!</v>
      </c>
      <c r="E7" s="296" t="e">
        <f>AVERAGE(#REF!)</f>
        <v>#REF!</v>
      </c>
      <c r="F7" s="296" t="e">
        <f>AVERAGE(#REF!)</f>
        <v>#REF!</v>
      </c>
      <c r="G7" s="297" t="e">
        <f>#REF!</f>
        <v>#REF!</v>
      </c>
      <c r="H7" s="298">
        <v>2.5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abSelected="1" workbookViewId="0">
      <selection activeCell="A7" sqref="A7"/>
    </sheetView>
  </sheetViews>
  <sheetFormatPr defaultRowHeight="13.8" x14ac:dyDescent="0.25"/>
  <sheetData>
    <row r="1" spans="1:31" x14ac:dyDescent="0.25">
      <c r="A1" s="516" t="s">
        <v>104</v>
      </c>
      <c r="B1" s="423"/>
      <c r="C1" s="423"/>
      <c r="D1" s="4"/>
      <c r="E1" s="4"/>
      <c r="F1" s="4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421" t="s">
        <v>102</v>
      </c>
      <c r="B2" s="422">
        <f>PLC_ARC_Owned_CashRent!I10+PLC_ARC_ShareRent!I10</f>
        <v>60069.992128136902</v>
      </c>
      <c r="C2" s="421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4.4" thickBot="1" x14ac:dyDescent="0.3">
      <c r="A3" s="431" t="s">
        <v>103</v>
      </c>
      <c r="B3" s="432">
        <f>PLC_ARC_Owned_CashRent!R10+PLC_ARC_ShareRent!R10</f>
        <v>0</v>
      </c>
      <c r="C3" s="431"/>
      <c r="D3" s="424"/>
      <c r="E3" s="424"/>
      <c r="F3" s="424"/>
      <c r="G3" s="424"/>
      <c r="H3" s="42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4"/>
      <c r="B4" s="4"/>
      <c r="C4" s="4"/>
      <c r="D4" s="4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318"/>
      <c r="B5" s="359" t="s">
        <v>61</v>
      </c>
      <c r="C5" s="360"/>
      <c r="D5" s="360"/>
      <c r="E5" s="360"/>
      <c r="F5" s="360"/>
      <c r="G5" s="420"/>
      <c r="H5" s="36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356" t="s">
        <v>47</v>
      </c>
      <c r="B6" s="327" t="s">
        <v>6</v>
      </c>
      <c r="C6" s="327" t="s">
        <v>9</v>
      </c>
      <c r="D6" s="327" t="s">
        <v>46</v>
      </c>
      <c r="E6" s="327" t="s">
        <v>97</v>
      </c>
      <c r="F6" s="327" t="s">
        <v>10</v>
      </c>
      <c r="G6" s="397" t="s">
        <v>98</v>
      </c>
      <c r="H6" s="357" t="s">
        <v>11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517">
        <v>2015</v>
      </c>
      <c r="B7" s="518">
        <v>3.65</v>
      </c>
      <c r="C7" s="519">
        <v>8.9</v>
      </c>
      <c r="D7" s="519">
        <v>5.4</v>
      </c>
      <c r="E7" s="519">
        <v>5.85</v>
      </c>
      <c r="F7" s="519">
        <v>3.6</v>
      </c>
      <c r="G7" s="519">
        <v>400</v>
      </c>
      <c r="H7" s="520">
        <v>5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521">
        <v>2014</v>
      </c>
      <c r="B8" s="522">
        <v>3.7</v>
      </c>
      <c r="C8" s="523">
        <v>10.1</v>
      </c>
      <c r="D8" s="523">
        <v>5.36</v>
      </c>
      <c r="E8" s="523">
        <v>6.48</v>
      </c>
      <c r="F8" s="523">
        <v>4.03</v>
      </c>
      <c r="G8" s="523">
        <v>426</v>
      </c>
      <c r="H8" s="524">
        <v>5.99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521">
        <v>2013</v>
      </c>
      <c r="B9" s="522">
        <v>4.46</v>
      </c>
      <c r="C9" s="523">
        <v>13</v>
      </c>
      <c r="D9" s="523">
        <v>6.93</v>
      </c>
      <c r="E9" s="523">
        <v>7.0650000000000004</v>
      </c>
      <c r="F9" s="523">
        <v>4.2783999999999995</v>
      </c>
      <c r="G9" s="523">
        <v>498</v>
      </c>
      <c r="H9" s="524">
        <v>6.87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521">
        <v>2012</v>
      </c>
      <c r="B10" s="525">
        <v>6.89</v>
      </c>
      <c r="C10" s="526">
        <v>14.4</v>
      </c>
      <c r="D10" s="526">
        <v>6.5249999999999995</v>
      </c>
      <c r="E10" s="526">
        <v>6.6149999999999993</v>
      </c>
      <c r="F10" s="526">
        <v>6.3280000000000003</v>
      </c>
      <c r="G10" s="526">
        <v>602</v>
      </c>
      <c r="H10" s="527">
        <v>7.77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528">
        <v>2011</v>
      </c>
      <c r="B11" s="529">
        <v>6.22</v>
      </c>
      <c r="C11" s="530">
        <v>12.5</v>
      </c>
      <c r="D11" s="530">
        <v>6.03</v>
      </c>
      <c r="E11" s="530">
        <v>6.4350000000000005</v>
      </c>
      <c r="F11" s="530">
        <v>5.992</v>
      </c>
      <c r="G11" s="530">
        <v>636</v>
      </c>
      <c r="H11" s="531">
        <v>7.24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/>
      <c r="B12" s="393" t="s">
        <v>88</v>
      </c>
      <c r="C12" s="393"/>
      <c r="D12" s="393"/>
      <c r="E12" s="393"/>
      <c r="F12" s="393"/>
      <c r="G12" s="393"/>
      <c r="H12" s="39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/>
      <c r="B13" s="396" t="s">
        <v>6</v>
      </c>
      <c r="C13" s="327" t="s">
        <v>9</v>
      </c>
      <c r="D13" s="327" t="s">
        <v>46</v>
      </c>
      <c r="E13" s="327" t="s">
        <v>97</v>
      </c>
      <c r="F13" s="327" t="s">
        <v>10</v>
      </c>
      <c r="G13" s="397" t="s">
        <v>98</v>
      </c>
      <c r="H13" s="357" t="s">
        <v>11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/>
      <c r="B14" s="405">
        <f>MAX(B7,PLC_ARC_Owned_CashRent!K$13)</f>
        <v>3.7</v>
      </c>
      <c r="C14" s="330">
        <f>MAX(C7,PLC_ARC_Owned_CashRent!L$13)</f>
        <v>8.9</v>
      </c>
      <c r="D14" s="330">
        <f>MAX(D7,PLC_ARC_Owned_CashRent!M$13)</f>
        <v>6.3000000000000007</v>
      </c>
      <c r="E14" s="330">
        <f>MAX(E7,PLC_ARC_Owned_CashRent!N$13)</f>
        <v>6.3000000000000007</v>
      </c>
      <c r="F14" s="330">
        <f>MAX(F7,PLC_ARC_Owned_CashRent!O$13)</f>
        <v>3.95</v>
      </c>
      <c r="G14" s="330">
        <f>MAX(G7,PLC_ARC_Owned_CashRent!P$13)</f>
        <v>535</v>
      </c>
      <c r="H14" s="406">
        <f>MAX(H7,PLC_ARC_Owned_CashRent!Q$13)</f>
        <v>5.5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/>
      <c r="B15" s="405">
        <f>MAX(B8,PLC_ARC_Owned_CashRent!K$13)</f>
        <v>3.7</v>
      </c>
      <c r="C15" s="330">
        <f>MAX(C8,PLC_ARC_Owned_CashRent!L$13)</f>
        <v>10.1</v>
      </c>
      <c r="D15" s="330">
        <f>MAX(D8,PLC_ARC_Owned_CashRent!M$13)</f>
        <v>6.3000000000000007</v>
      </c>
      <c r="E15" s="330">
        <f>MAX(E8,PLC_ARC_Owned_CashRent!N$13)</f>
        <v>6.48</v>
      </c>
      <c r="F15" s="330">
        <f>MAX(F8,PLC_ARC_Owned_CashRent!O$13)</f>
        <v>4.03</v>
      </c>
      <c r="G15" s="330">
        <f>MAX(G8,PLC_ARC_Owned_CashRent!P$13)</f>
        <v>535</v>
      </c>
      <c r="H15" s="406">
        <f>MAX(H8,PLC_ARC_Owned_CashRent!Q$13)</f>
        <v>5.99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/>
      <c r="B16" s="405">
        <f>MAX(B9,PLC_ARC_Owned_CashRent!K$13)</f>
        <v>4.46</v>
      </c>
      <c r="C16" s="330">
        <f>MAX(C9,PLC_ARC_Owned_CashRent!L$13)</f>
        <v>13</v>
      </c>
      <c r="D16" s="330">
        <f>MAX(D9,PLC_ARC_Owned_CashRent!M$13)</f>
        <v>6.93</v>
      </c>
      <c r="E16" s="330">
        <f>MAX(E9,PLC_ARC_Owned_CashRent!N$13)</f>
        <v>7.0650000000000004</v>
      </c>
      <c r="F16" s="330">
        <f>MAX(F9,PLC_ARC_Owned_CashRent!O$13)</f>
        <v>4.2783999999999995</v>
      </c>
      <c r="G16" s="330">
        <f>MAX(G9,PLC_ARC_Owned_CashRent!P$13)</f>
        <v>535</v>
      </c>
      <c r="H16" s="406">
        <f>MAX(H9,PLC_ARC_Owned_CashRent!Q$13)</f>
        <v>6.87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/>
      <c r="B17" s="405">
        <f>MAX(B10,PLC_ARC_Owned_CashRent!K$13)</f>
        <v>6.89</v>
      </c>
      <c r="C17" s="330">
        <f>MAX(C10,PLC_ARC_Owned_CashRent!L$13)</f>
        <v>14.4</v>
      </c>
      <c r="D17" s="330">
        <f>MAX(D10,PLC_ARC_Owned_CashRent!M$13)</f>
        <v>6.5249999999999995</v>
      </c>
      <c r="E17" s="330">
        <f>MAX(E10,PLC_ARC_Owned_CashRent!N$13)</f>
        <v>6.6149999999999993</v>
      </c>
      <c r="F17" s="330">
        <f>MAX(F10,PLC_ARC_Owned_CashRent!O$13)</f>
        <v>6.3280000000000003</v>
      </c>
      <c r="G17" s="330">
        <f>MAX(G10,PLC_ARC_Owned_CashRent!P$13)</f>
        <v>602</v>
      </c>
      <c r="H17" s="406">
        <f>MAX(H10,PLC_ARC_Owned_CashRent!Q$13)</f>
        <v>7.77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/>
      <c r="B18" s="407">
        <f>MAX(B11,PLC_ARC_Owned_CashRent!K$13)</f>
        <v>6.22</v>
      </c>
      <c r="C18" s="338">
        <f>MAX(C11,PLC_ARC_Owned_CashRent!L$13)</f>
        <v>12.5</v>
      </c>
      <c r="D18" s="338">
        <f>MAX(D11,PLC_ARC_Owned_CashRent!M$13)</f>
        <v>6.3000000000000007</v>
      </c>
      <c r="E18" s="338">
        <f>MAX(E11,PLC_ARC_Owned_CashRent!N$13)</f>
        <v>6.4350000000000005</v>
      </c>
      <c r="F18" s="338">
        <f>MAX(F11,PLC_ARC_Owned_CashRent!O$13)</f>
        <v>5.992</v>
      </c>
      <c r="G18" s="338">
        <f>MAX(G11,PLC_ARC_Owned_CashRent!P$13)</f>
        <v>636</v>
      </c>
      <c r="H18" s="408">
        <f>MAX(H11,PLC_ARC_Owned_CashRent!Q$13)</f>
        <v>7.24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27.6" x14ac:dyDescent="0.25">
      <c r="A19" s="419" t="s">
        <v>77</v>
      </c>
      <c r="B19" s="433">
        <f t="shared" ref="B19:H19" si="0">(SUM(B14:B18)-MIN(B14:B18)-MAX(B14:B18))/3</f>
        <v>4.793333333333333</v>
      </c>
      <c r="C19" s="434">
        <f t="shared" si="0"/>
        <v>11.866666666666667</v>
      </c>
      <c r="D19" s="434">
        <f t="shared" si="0"/>
        <v>6.3750000000000009</v>
      </c>
      <c r="E19" s="434">
        <f t="shared" si="0"/>
        <v>6.5100000000000007</v>
      </c>
      <c r="F19" s="434">
        <f t="shared" si="0"/>
        <v>4.7668000000000008</v>
      </c>
      <c r="G19" s="434">
        <f t="shared" si="0"/>
        <v>557.33333333333337</v>
      </c>
      <c r="H19" s="435">
        <f t="shared" si="0"/>
        <v>6.6999999999999993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/>
      <c r="B20" s="436"/>
      <c r="C20" s="437"/>
      <c r="D20" s="437"/>
      <c r="E20" s="437"/>
      <c r="F20" s="437"/>
      <c r="G20" s="437"/>
      <c r="H20" s="43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318"/>
      <c r="B21" s="409" t="str">
        <f>IF(B7&lt;PLC_ARC_Owned_CashRent!K$13,"Plug","OK")</f>
        <v>Plug</v>
      </c>
      <c r="C21" s="410" t="str">
        <f>IF(C7&lt;PLC_ARC_Owned_CashRent!L$13,"Plug","OK")</f>
        <v>OK</v>
      </c>
      <c r="D21" s="410" t="str">
        <f>IF(D7&lt;PLC_ARC_Owned_CashRent!M$13,"Plug","OK")</f>
        <v>Plug</v>
      </c>
      <c r="E21" s="410" t="str">
        <f>IF(E7&lt;PLC_ARC_Owned_CashRent!N$13,"Plug","OK")</f>
        <v>Plug</v>
      </c>
      <c r="F21" s="410" t="str">
        <f>IF(F7&lt;PLC_ARC_Owned_CashRent!O$13,"Plug","OK")</f>
        <v>Plug</v>
      </c>
      <c r="G21" s="410" t="str">
        <f>IF(G7&lt;PLC_ARC_Owned_CashRent!P$13,"Plug","OK")</f>
        <v>Plug</v>
      </c>
      <c r="H21" s="411" t="str">
        <f>IF(H7&lt;PLC_ARC_Owned_CashRent!Q$13,"Plug","OK")</f>
        <v>Plug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318"/>
      <c r="B22" s="412" t="str">
        <f>IF(B8&lt;PLC_ARC_Owned_CashRent!K$13,"Plug","OK")</f>
        <v>OK</v>
      </c>
      <c r="C22" s="348" t="str">
        <f>IF(C8&lt;PLC_ARC_Owned_CashRent!L$13,"Plug","OK")</f>
        <v>OK</v>
      </c>
      <c r="D22" s="348" t="str">
        <f>IF(D8&lt;PLC_ARC_Owned_CashRent!M$13,"Plug","OK")</f>
        <v>Plug</v>
      </c>
      <c r="E22" s="348" t="str">
        <f>IF(E8&lt;PLC_ARC_Owned_CashRent!N$13,"Plug","OK")</f>
        <v>OK</v>
      </c>
      <c r="F22" s="348" t="str">
        <f>IF(F8&lt;PLC_ARC_Owned_CashRent!O$13,"Plug","OK")</f>
        <v>OK</v>
      </c>
      <c r="G22" s="348" t="str">
        <f>IF(G8&lt;PLC_ARC_Owned_CashRent!P$13,"Plug","OK")</f>
        <v>Plug</v>
      </c>
      <c r="H22" s="413" t="str">
        <f>IF(H8&lt;PLC_ARC_Owned_CashRent!Q$13,"Plug","OK")</f>
        <v>OK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318"/>
      <c r="B23" s="412" t="str">
        <f>IF(B9&lt;PLC_ARC_Owned_CashRent!K$13,"Plug","OK")</f>
        <v>OK</v>
      </c>
      <c r="C23" s="348" t="str">
        <f>IF(C9&lt;PLC_ARC_Owned_CashRent!L$13,"Plug","OK")</f>
        <v>OK</v>
      </c>
      <c r="D23" s="348" t="str">
        <f>IF(D9&lt;PLC_ARC_Owned_CashRent!M$13,"Plug","OK")</f>
        <v>OK</v>
      </c>
      <c r="E23" s="348" t="str">
        <f>IF(E9&lt;PLC_ARC_Owned_CashRent!N$13,"Plug","OK")</f>
        <v>OK</v>
      </c>
      <c r="F23" s="348" t="str">
        <f>IF(F9&lt;PLC_ARC_Owned_CashRent!O$13,"Plug","OK")</f>
        <v>OK</v>
      </c>
      <c r="G23" s="348" t="str">
        <f>IF(G9&lt;PLC_ARC_Owned_CashRent!P$13,"Plug","OK")</f>
        <v>Plug</v>
      </c>
      <c r="H23" s="413" t="str">
        <f>IF(H9&lt;PLC_ARC_Owned_CashRent!Q$13,"Plug","OK")</f>
        <v>OK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318"/>
      <c r="B24" s="412" t="str">
        <f>IF(B10&lt;PLC_ARC_Owned_CashRent!K$13,"Plug","OK")</f>
        <v>OK</v>
      </c>
      <c r="C24" s="348" t="str">
        <f>IF(C10&lt;PLC_ARC_Owned_CashRent!L$13,"Plug","OK")</f>
        <v>OK</v>
      </c>
      <c r="D24" s="348" t="str">
        <f>IF(D10&lt;PLC_ARC_Owned_CashRent!M$13,"Plug","OK")</f>
        <v>OK</v>
      </c>
      <c r="E24" s="348" t="str">
        <f>IF(E10&lt;PLC_ARC_Owned_CashRent!N$13,"Plug","OK")</f>
        <v>OK</v>
      </c>
      <c r="F24" s="348" t="str">
        <f>IF(F10&lt;PLC_ARC_Owned_CashRent!O$13,"Plug","OK")</f>
        <v>OK</v>
      </c>
      <c r="G24" s="348" t="str">
        <f>IF(G10&lt;PLC_ARC_Owned_CashRent!P$13,"Plug","OK")</f>
        <v>OK</v>
      </c>
      <c r="H24" s="413" t="str">
        <f>IF(H10&lt;PLC_ARC_Owned_CashRent!Q$13,"Plug","OK")</f>
        <v>OK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318"/>
      <c r="B25" s="414" t="str">
        <f>IF(B11&lt;PLC_ARC_Owned_CashRent!K$13,"Plug","OK")</f>
        <v>OK</v>
      </c>
      <c r="C25" s="353" t="str">
        <f>IF(C11&lt;PLC_ARC_Owned_CashRent!L$13,"Plug","OK")</f>
        <v>OK</v>
      </c>
      <c r="D25" s="353" t="str">
        <f>IF(D11&lt;PLC_ARC_Owned_CashRent!M$13,"Plug","OK")</f>
        <v>Plug</v>
      </c>
      <c r="E25" s="353" t="str">
        <f>IF(E11&lt;PLC_ARC_Owned_CashRent!N$13,"Plug","OK")</f>
        <v>OK</v>
      </c>
      <c r="F25" s="353" t="str">
        <f>IF(F11&lt;PLC_ARC_Owned_CashRent!O$13,"Plug","OK")</f>
        <v>OK</v>
      </c>
      <c r="G25" s="353" t="str">
        <f>IF(G11&lt;PLC_ARC_Owned_CashRent!P$13,"Plug","OK")</f>
        <v>OK</v>
      </c>
      <c r="H25" s="415" t="str">
        <f>IF(H11&lt;PLC_ARC_Owned_CashRent!Q$13,"Plug","OK")</f>
        <v>OK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</sheetData>
  <sheetProtection sheet="1" objects="1" scenarios="1" selectLockedCells="1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8"/>
  <sheetViews>
    <sheetView workbookViewId="0">
      <selection activeCell="B3" sqref="B3"/>
    </sheetView>
  </sheetViews>
  <sheetFormatPr defaultRowHeight="13.8" x14ac:dyDescent="0.25"/>
  <cols>
    <col min="1" max="1" width="37" bestFit="1" customWidth="1"/>
    <col min="10" max="10" width="1.6640625" customWidth="1"/>
    <col min="19" max="19" width="1.6640625" customWidth="1"/>
  </cols>
  <sheetData>
    <row r="1" spans="1:58" ht="15" customHeight="1" x14ac:dyDescent="0.25">
      <c r="A1" s="310"/>
      <c r="B1" s="311" t="s">
        <v>93</v>
      </c>
      <c r="C1" s="311"/>
      <c r="D1" s="311"/>
      <c r="E1" s="311"/>
      <c r="F1" s="311"/>
      <c r="G1" s="311"/>
      <c r="H1" s="312"/>
      <c r="I1" s="311"/>
      <c r="J1" s="313"/>
      <c r="K1" s="314" t="s">
        <v>92</v>
      </c>
      <c r="L1" s="311"/>
      <c r="M1" s="311"/>
      <c r="N1" s="311"/>
      <c r="O1" s="311"/>
      <c r="P1" s="311"/>
      <c r="Q1" s="311"/>
      <c r="R1" s="316"/>
      <c r="S1" s="317"/>
      <c r="T1" s="2"/>
      <c r="U1" s="2"/>
      <c r="V1" s="2"/>
      <c r="W1" s="2"/>
      <c r="X1" s="2"/>
      <c r="Y1" s="394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18"/>
      <c r="AQ1" s="318"/>
      <c r="AR1" s="318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5" customHeight="1" x14ac:dyDescent="0.25">
      <c r="A2" s="371" t="s">
        <v>84</v>
      </c>
      <c r="B2" s="319" t="s">
        <v>6</v>
      </c>
      <c r="C2" s="319" t="s">
        <v>9</v>
      </c>
      <c r="D2" s="319" t="s">
        <v>46</v>
      </c>
      <c r="E2" s="319" t="s">
        <v>97</v>
      </c>
      <c r="F2" s="319" t="s">
        <v>10</v>
      </c>
      <c r="G2" s="319" t="s">
        <v>98</v>
      </c>
      <c r="H2" s="320" t="s">
        <v>11</v>
      </c>
      <c r="I2" s="321" t="s">
        <v>12</v>
      </c>
      <c r="J2" s="322"/>
      <c r="K2" s="323" t="s">
        <v>6</v>
      </c>
      <c r="L2" s="319" t="s">
        <v>9</v>
      </c>
      <c r="M2" s="319" t="s">
        <v>46</v>
      </c>
      <c r="N2" s="319" t="s">
        <v>97</v>
      </c>
      <c r="O2" s="319" t="s">
        <v>10</v>
      </c>
      <c r="P2" s="319" t="s">
        <v>98</v>
      </c>
      <c r="Q2" s="319" t="s">
        <v>11</v>
      </c>
      <c r="R2" s="467" t="s">
        <v>12</v>
      </c>
      <c r="S2" s="324"/>
      <c r="T2" s="2"/>
      <c r="U2" s="2"/>
      <c r="V2" s="2"/>
      <c r="W2" s="2"/>
      <c r="X2" s="2"/>
      <c r="Y2" s="32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318"/>
      <c r="AQ2" s="318"/>
      <c r="AR2" s="318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ht="15" customHeight="1" x14ac:dyDescent="0.25">
      <c r="A3" s="372" t="s">
        <v>61</v>
      </c>
      <c r="B3" s="331">
        <v>4</v>
      </c>
      <c r="C3" s="332">
        <v>9.5</v>
      </c>
      <c r="D3" s="332">
        <v>5.5</v>
      </c>
      <c r="E3" s="332">
        <v>6.5</v>
      </c>
      <c r="F3" s="332">
        <v>4.2</v>
      </c>
      <c r="G3" s="332">
        <v>375</v>
      </c>
      <c r="H3" s="365">
        <v>5</v>
      </c>
      <c r="I3" s="465"/>
      <c r="J3" s="333"/>
      <c r="K3" s="332">
        <v>4</v>
      </c>
      <c r="L3" s="332">
        <v>9.5</v>
      </c>
      <c r="M3" s="332">
        <v>5.5</v>
      </c>
      <c r="N3" s="332">
        <v>6.5</v>
      </c>
      <c r="O3" s="332">
        <v>4.2</v>
      </c>
      <c r="P3" s="365">
        <v>375</v>
      </c>
      <c r="Q3" s="332">
        <v>5</v>
      </c>
      <c r="R3" s="468"/>
      <c r="S3" s="324"/>
      <c r="T3" s="2"/>
      <c r="U3" s="2"/>
      <c r="V3" s="2"/>
      <c r="W3" s="2"/>
      <c r="X3" s="2"/>
      <c r="Y3" s="329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318"/>
      <c r="AQ3" s="318"/>
      <c r="AR3" s="318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ht="15" customHeight="1" x14ac:dyDescent="0.25">
      <c r="A4" s="372" t="s">
        <v>82</v>
      </c>
      <c r="B4" s="335"/>
      <c r="C4" s="336"/>
      <c r="D4" s="336"/>
      <c r="E4" s="336"/>
      <c r="F4" s="336"/>
      <c r="G4" s="362"/>
      <c r="H4" s="362"/>
      <c r="I4" s="367"/>
      <c r="J4" s="334"/>
      <c r="K4" s="390">
        <v>190</v>
      </c>
      <c r="L4" s="390">
        <v>55</v>
      </c>
      <c r="M4" s="390">
        <v>170</v>
      </c>
      <c r="N4" s="390">
        <v>170</v>
      </c>
      <c r="O4" s="390">
        <v>100</v>
      </c>
      <c r="P4" s="391">
        <v>2</v>
      </c>
      <c r="Q4" s="390">
        <v>60</v>
      </c>
      <c r="R4" s="469"/>
      <c r="S4" s="324"/>
      <c r="T4" s="2"/>
      <c r="U4" s="2"/>
      <c r="V4" s="2"/>
      <c r="W4" s="2"/>
      <c r="X4" s="2"/>
      <c r="Y4" s="329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318"/>
      <c r="AQ4" s="318"/>
      <c r="AR4" s="318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t="15" customHeight="1" x14ac:dyDescent="0.25">
      <c r="A5" s="372" t="s">
        <v>81</v>
      </c>
      <c r="B5" s="335"/>
      <c r="C5" s="336"/>
      <c r="D5" s="336"/>
      <c r="E5" s="336"/>
      <c r="F5" s="336"/>
      <c r="G5" s="362"/>
      <c r="H5" s="362"/>
      <c r="I5" s="366"/>
      <c r="J5" s="334"/>
      <c r="K5" s="579">
        <f>PLC_ARC_Owned_CashRent!K32</f>
        <v>183.33333333333334</v>
      </c>
      <c r="L5" s="579">
        <f>PLC_ARC_Owned_CashRent!L32</f>
        <v>49.06666666666667</v>
      </c>
      <c r="M5" s="579">
        <f>PLC_ARC_Owned_CashRent!M32</f>
        <v>166.22222222222226</v>
      </c>
      <c r="N5" s="579">
        <f>N32</f>
        <v>166.22222222222226</v>
      </c>
      <c r="O5" s="579">
        <f>PLC_ARC_Owned_CashRent!O32</f>
        <v>93.666666666666671</v>
      </c>
      <c r="P5" s="596">
        <f>P32</f>
        <v>2.0000000000000004</v>
      </c>
      <c r="Q5" s="579">
        <f>PLC_ARC_Owned_CashRent!Q32</f>
        <v>58.666666666666664</v>
      </c>
      <c r="R5" s="469"/>
      <c r="S5" s="324"/>
      <c r="T5" s="2"/>
      <c r="U5" s="2"/>
      <c r="V5" s="2"/>
      <c r="W5" s="2"/>
      <c r="X5" s="2"/>
      <c r="Y5" s="329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318"/>
      <c r="AQ5" s="318"/>
      <c r="AR5" s="318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ht="15" customHeight="1" x14ac:dyDescent="0.25">
      <c r="A6" s="372" t="s">
        <v>80</v>
      </c>
      <c r="B6" s="335"/>
      <c r="C6" s="336"/>
      <c r="D6" s="336"/>
      <c r="E6" s="336"/>
      <c r="F6" s="336"/>
      <c r="G6" s="362"/>
      <c r="H6" s="362"/>
      <c r="I6" s="366"/>
      <c r="J6" s="334"/>
      <c r="K6" s="597">
        <f>PLC_ARC_National_Price!B19</f>
        <v>4.793333333333333</v>
      </c>
      <c r="L6" s="597">
        <f>PLC_ARC_National_Price!C19</f>
        <v>11.866666666666667</v>
      </c>
      <c r="M6" s="597">
        <f>PLC_ARC_National_Price!D19</f>
        <v>6.3750000000000009</v>
      </c>
      <c r="N6" s="597">
        <f>PLC_ARC_National_Price!E19</f>
        <v>6.5100000000000007</v>
      </c>
      <c r="O6" s="597">
        <f>PLC_ARC_National_Price!F19</f>
        <v>4.7668000000000008</v>
      </c>
      <c r="P6" s="598">
        <f>PLC_ARC_National_Price!G19</f>
        <v>557.33333333333337</v>
      </c>
      <c r="Q6" s="597">
        <f>PLC_ARC_National_Price!H19</f>
        <v>6.6999999999999993</v>
      </c>
      <c r="R6" s="468"/>
      <c r="S6" s="324"/>
      <c r="T6" s="2"/>
      <c r="U6" s="2"/>
      <c r="V6" s="2"/>
      <c r="W6" s="2"/>
      <c r="X6" s="2"/>
      <c r="Y6" s="329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318"/>
      <c r="AQ6" s="318"/>
      <c r="AR6" s="318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ht="15" customHeight="1" x14ac:dyDescent="0.25">
      <c r="A7" s="372" t="s">
        <v>79</v>
      </c>
      <c r="B7" s="578">
        <f>0.9*PLC_ARC_Owned_CashRent!B33</f>
        <v>139.615014627443</v>
      </c>
      <c r="C7" s="579">
        <f>0.9*PLC_ARC_Owned_CashRent!C33</f>
        <v>41.397653892125923</v>
      </c>
      <c r="D7" s="579">
        <f>0.9*PLC_ARC_Owned_CashRent!D33</f>
        <v>135.90495956592048</v>
      </c>
      <c r="E7" s="579">
        <f>0.9*E33</f>
        <v>135.90495956592048</v>
      </c>
      <c r="F7" s="579">
        <f>0.9*PLC_ARC_Owned_CashRent!F33</f>
        <v>53.432787729511858</v>
      </c>
      <c r="G7" s="580">
        <f>0.9*G33</f>
        <v>1.1618999999999999</v>
      </c>
      <c r="H7" s="581">
        <f>0.9*PLC_ARC_Owned_CashRent!H33</f>
        <v>40.351091324323164</v>
      </c>
      <c r="I7" s="367"/>
      <c r="J7" s="339"/>
      <c r="K7" s="337" t="s">
        <v>40</v>
      </c>
      <c r="L7" s="337" t="s">
        <v>40</v>
      </c>
      <c r="M7" s="337" t="s">
        <v>40</v>
      </c>
      <c r="N7" s="337" t="s">
        <v>40</v>
      </c>
      <c r="O7" s="337" t="s">
        <v>40</v>
      </c>
      <c r="P7" s="369"/>
      <c r="Q7" s="337" t="s">
        <v>40</v>
      </c>
      <c r="R7" s="470"/>
      <c r="S7" s="324"/>
      <c r="T7" s="2"/>
      <c r="U7" s="2"/>
      <c r="V7" s="2"/>
      <c r="W7" s="2"/>
      <c r="X7" s="2"/>
      <c r="Y7" s="329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318"/>
      <c r="AQ7" s="318"/>
      <c r="AR7" s="318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ht="15" customHeight="1" x14ac:dyDescent="0.25">
      <c r="A8" s="372" t="s">
        <v>78</v>
      </c>
      <c r="B8" s="340">
        <v>0</v>
      </c>
      <c r="C8" s="341">
        <v>0</v>
      </c>
      <c r="D8" s="341">
        <v>200</v>
      </c>
      <c r="E8" s="341">
        <v>0</v>
      </c>
      <c r="F8" s="341">
        <v>0</v>
      </c>
      <c r="G8" s="363">
        <v>0</v>
      </c>
      <c r="H8" s="363">
        <v>0</v>
      </c>
      <c r="I8" s="599"/>
      <c r="J8" s="339"/>
      <c r="K8" s="341">
        <v>0</v>
      </c>
      <c r="L8" s="341">
        <v>400</v>
      </c>
      <c r="M8" s="341">
        <v>0</v>
      </c>
      <c r="N8" s="341">
        <v>0</v>
      </c>
      <c r="O8" s="341">
        <v>0</v>
      </c>
      <c r="P8" s="363">
        <v>0</v>
      </c>
      <c r="Q8" s="341">
        <v>0</v>
      </c>
      <c r="R8" s="471"/>
      <c r="S8" s="324"/>
      <c r="T8" s="2"/>
      <c r="U8" s="2"/>
      <c r="V8" s="2"/>
      <c r="W8" s="2"/>
      <c r="X8" s="2"/>
      <c r="Y8" s="329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318"/>
      <c r="AQ8" s="318"/>
      <c r="AR8" s="318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ht="15" customHeight="1" x14ac:dyDescent="0.25">
      <c r="A9" s="372" t="s">
        <v>75</v>
      </c>
      <c r="B9" s="342">
        <v>1</v>
      </c>
      <c r="C9" s="343">
        <v>1</v>
      </c>
      <c r="D9" s="343">
        <v>1</v>
      </c>
      <c r="E9" s="343">
        <v>1</v>
      </c>
      <c r="F9" s="343">
        <v>1</v>
      </c>
      <c r="G9" s="343">
        <v>1</v>
      </c>
      <c r="H9" s="364">
        <v>1</v>
      </c>
      <c r="I9" s="599"/>
      <c r="J9" s="328"/>
      <c r="K9" s="343">
        <v>1</v>
      </c>
      <c r="L9" s="343">
        <v>1</v>
      </c>
      <c r="M9" s="343">
        <v>1</v>
      </c>
      <c r="N9" s="343">
        <v>1</v>
      </c>
      <c r="O9" s="343">
        <v>1</v>
      </c>
      <c r="P9" s="364">
        <v>1</v>
      </c>
      <c r="Q9" s="343">
        <v>1</v>
      </c>
      <c r="R9" s="471"/>
      <c r="S9" s="324"/>
      <c r="T9" s="2"/>
      <c r="U9" s="2"/>
      <c r="V9" s="2"/>
      <c r="W9" s="2"/>
      <c r="X9" s="2"/>
      <c r="Y9" s="329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318"/>
      <c r="AQ9" s="318"/>
      <c r="AR9" s="318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ht="15" customHeight="1" x14ac:dyDescent="0.25">
      <c r="A10" s="373" t="s">
        <v>69</v>
      </c>
      <c r="B10" s="344">
        <f t="shared" ref="B10:H10" si="0">B11*B7*(B8*0.85)*B9</f>
        <v>0</v>
      </c>
      <c r="C10" s="344">
        <f t="shared" si="0"/>
        <v>0</v>
      </c>
      <c r="D10" s="344">
        <f t="shared" si="0"/>
        <v>18483.074500965202</v>
      </c>
      <c r="E10" s="344">
        <f t="shared" si="0"/>
        <v>0</v>
      </c>
      <c r="F10" s="344">
        <f t="shared" si="0"/>
        <v>0</v>
      </c>
      <c r="G10" s="344">
        <f t="shared" si="0"/>
        <v>0</v>
      </c>
      <c r="H10" s="344">
        <f t="shared" si="0"/>
        <v>0</v>
      </c>
      <c r="I10" s="466">
        <f>SUM(B10:H10)</f>
        <v>18483.074500965202</v>
      </c>
      <c r="J10" s="346"/>
      <c r="K10" s="344">
        <f t="shared" ref="K10:Q10" si="1">K11*(K8*0.85)*K9</f>
        <v>0</v>
      </c>
      <c r="L10" s="344">
        <f t="shared" si="1"/>
        <v>0</v>
      </c>
      <c r="M10" s="344">
        <f t="shared" si="1"/>
        <v>0</v>
      </c>
      <c r="N10" s="344">
        <f t="shared" si="1"/>
        <v>0</v>
      </c>
      <c r="O10" s="344">
        <f t="shared" si="1"/>
        <v>0</v>
      </c>
      <c r="P10" s="344">
        <f t="shared" si="1"/>
        <v>0</v>
      </c>
      <c r="Q10" s="344">
        <f t="shared" si="1"/>
        <v>0</v>
      </c>
      <c r="R10" s="347">
        <f>SUM(K10:Q10)</f>
        <v>0</v>
      </c>
      <c r="S10" s="324"/>
      <c r="T10" s="2"/>
      <c r="U10" s="2"/>
      <c r="V10" s="2"/>
      <c r="W10" s="2"/>
      <c r="X10" s="2"/>
      <c r="Y10" s="329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318"/>
      <c r="AQ10" s="318"/>
      <c r="AR10" s="318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ht="15" customHeight="1" x14ac:dyDescent="0.25">
      <c r="A11" s="427" t="s">
        <v>65</v>
      </c>
      <c r="B11" s="351">
        <f t="shared" ref="B11:H11" si="2">IF(B3&lt;B13,B13-B14,0)</f>
        <v>0</v>
      </c>
      <c r="C11" s="351">
        <f t="shared" si="2"/>
        <v>0</v>
      </c>
      <c r="D11" s="351">
        <f t="shared" si="2"/>
        <v>0.80000000000000071</v>
      </c>
      <c r="E11" s="351">
        <f t="shared" si="2"/>
        <v>0</v>
      </c>
      <c r="F11" s="351">
        <f t="shared" si="2"/>
        <v>0</v>
      </c>
      <c r="G11" s="351">
        <f t="shared" si="2"/>
        <v>160</v>
      </c>
      <c r="H11" s="351">
        <f t="shared" si="2"/>
        <v>0.5</v>
      </c>
      <c r="I11" s="368"/>
      <c r="J11" s="349"/>
      <c r="K11" s="351">
        <f t="shared" ref="K11:Q11" si="3">IF(K18&lt;K15,MIN(K15-K18,K16*0.1),0)</f>
        <v>0</v>
      </c>
      <c r="L11" s="351">
        <f t="shared" si="3"/>
        <v>0</v>
      </c>
      <c r="M11" s="351">
        <f t="shared" si="3"/>
        <v>0</v>
      </c>
      <c r="N11" s="351">
        <f t="shared" si="3"/>
        <v>0</v>
      </c>
      <c r="O11" s="351">
        <f t="shared" si="3"/>
        <v>0</v>
      </c>
      <c r="P11" s="351">
        <f t="shared" si="3"/>
        <v>111.4666666666667</v>
      </c>
      <c r="Q11" s="351">
        <f t="shared" si="3"/>
        <v>38.037333333333265</v>
      </c>
      <c r="R11" s="468"/>
      <c r="S11" s="324"/>
      <c r="T11" s="2"/>
      <c r="U11" s="2"/>
      <c r="V11" s="2"/>
      <c r="W11" s="2"/>
      <c r="X11" s="2"/>
      <c r="Y11" s="329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318"/>
      <c r="AQ11" s="318"/>
      <c r="AR11" s="318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15" customHeight="1" x14ac:dyDescent="0.25">
      <c r="A12" s="427" t="s">
        <v>63</v>
      </c>
      <c r="B12" s="349"/>
      <c r="C12" s="349"/>
      <c r="D12" s="349"/>
      <c r="E12" s="349"/>
      <c r="F12" s="349"/>
      <c r="G12" s="349"/>
      <c r="H12" s="349"/>
      <c r="I12" s="368"/>
      <c r="J12" s="349"/>
      <c r="K12" s="351">
        <f t="shared" ref="K12:Q12" si="4">0.1*K16</f>
        <v>87.87777777777778</v>
      </c>
      <c r="L12" s="351">
        <f t="shared" si="4"/>
        <v>58.225777777777786</v>
      </c>
      <c r="M12" s="351">
        <f t="shared" si="4"/>
        <v>105.9666666666667</v>
      </c>
      <c r="N12" s="351">
        <f t="shared" si="4"/>
        <v>108.21066666666671</v>
      </c>
      <c r="O12" s="351">
        <f t="shared" si="4"/>
        <v>44.649026666666678</v>
      </c>
      <c r="P12" s="351">
        <f t="shared" si="4"/>
        <v>111.4666666666667</v>
      </c>
      <c r="Q12" s="351">
        <f t="shared" si="4"/>
        <v>39.306666666666665</v>
      </c>
      <c r="R12" s="468"/>
      <c r="S12" s="324"/>
      <c r="T12" s="2"/>
      <c r="U12" s="2"/>
      <c r="V12" s="2"/>
      <c r="W12" s="2"/>
      <c r="X12" s="2"/>
      <c r="Y12" s="329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318"/>
      <c r="AQ12" s="318"/>
      <c r="AR12" s="318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ht="15" customHeight="1" x14ac:dyDescent="0.25">
      <c r="A13" s="427" t="s">
        <v>62</v>
      </c>
      <c r="B13" s="351">
        <v>3.7</v>
      </c>
      <c r="C13" s="351">
        <v>8.4</v>
      </c>
      <c r="D13" s="351">
        <f>(14/100)*45</f>
        <v>6.3000000000000007</v>
      </c>
      <c r="E13" s="351">
        <f>(14/100)*45</f>
        <v>6.3000000000000007</v>
      </c>
      <c r="F13" s="351">
        <v>3.95</v>
      </c>
      <c r="G13" s="351">
        <v>535</v>
      </c>
      <c r="H13" s="351">
        <v>5.5</v>
      </c>
      <c r="I13" s="368"/>
      <c r="J13" s="349"/>
      <c r="K13" s="351">
        <v>3.7</v>
      </c>
      <c r="L13" s="351">
        <v>8.4</v>
      </c>
      <c r="M13" s="351">
        <f>(14/100)*45</f>
        <v>6.3000000000000007</v>
      </c>
      <c r="N13" s="351">
        <f>(14/100)*45</f>
        <v>6.3000000000000007</v>
      </c>
      <c r="O13" s="351">
        <v>3.95</v>
      </c>
      <c r="P13" s="351">
        <v>535</v>
      </c>
      <c r="Q13" s="351">
        <v>5.5</v>
      </c>
      <c r="R13" s="468"/>
      <c r="S13" s="324"/>
      <c r="T13" s="2"/>
      <c r="U13" s="2"/>
      <c r="V13" s="2"/>
      <c r="W13" s="2"/>
      <c r="X13" s="2"/>
      <c r="Y13" s="318"/>
      <c r="Z13" s="318"/>
      <c r="AA13" s="318"/>
      <c r="AB13" s="318"/>
      <c r="AC13" s="318"/>
      <c r="AD13" s="318"/>
      <c r="AE13" s="318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318"/>
      <c r="AQ13" s="318"/>
      <c r="AR13" s="318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ht="15" customHeight="1" x14ac:dyDescent="0.25">
      <c r="A14" s="427" t="s">
        <v>60</v>
      </c>
      <c r="B14" s="351">
        <f t="shared" ref="B14:H14" si="5">MAX(B3,B20)</f>
        <v>4</v>
      </c>
      <c r="C14" s="351">
        <f t="shared" si="5"/>
        <v>9.5</v>
      </c>
      <c r="D14" s="351">
        <f t="shared" si="5"/>
        <v>5.5</v>
      </c>
      <c r="E14" s="351">
        <f t="shared" si="5"/>
        <v>6.5</v>
      </c>
      <c r="F14" s="351">
        <f t="shared" si="5"/>
        <v>4.2</v>
      </c>
      <c r="G14" s="351">
        <f t="shared" si="5"/>
        <v>375</v>
      </c>
      <c r="H14" s="351">
        <f t="shared" si="5"/>
        <v>5</v>
      </c>
      <c r="I14" s="368"/>
      <c r="J14" s="349"/>
      <c r="K14" s="352"/>
      <c r="L14" s="349"/>
      <c r="M14" s="349"/>
      <c r="N14" s="349"/>
      <c r="O14" s="349"/>
      <c r="P14" s="349"/>
      <c r="Q14" s="349"/>
      <c r="R14" s="468"/>
      <c r="S14" s="324"/>
      <c r="T14" s="2"/>
      <c r="U14" s="2"/>
      <c r="V14" s="2"/>
      <c r="W14" s="2"/>
      <c r="X14" s="2"/>
      <c r="Y14" s="318"/>
      <c r="Z14" s="318"/>
      <c r="AA14" s="318"/>
      <c r="AB14" s="318"/>
      <c r="AC14" s="318"/>
      <c r="AD14" s="318"/>
      <c r="AE14" s="318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318"/>
      <c r="AQ14" s="318"/>
      <c r="AR14" s="318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ht="15" customHeight="1" x14ac:dyDescent="0.25">
      <c r="A15" s="427" t="s">
        <v>59</v>
      </c>
      <c r="B15" s="349"/>
      <c r="C15" s="349"/>
      <c r="D15" s="349"/>
      <c r="E15" s="349"/>
      <c r="F15" s="349"/>
      <c r="G15" s="349"/>
      <c r="H15" s="349"/>
      <c r="I15" s="368"/>
      <c r="J15" s="349"/>
      <c r="K15" s="429">
        <f t="shared" ref="K15:Q15" si="6">K16*0.86</f>
        <v>755.74888888888881</v>
      </c>
      <c r="L15" s="430">
        <f t="shared" si="6"/>
        <v>500.74168888888892</v>
      </c>
      <c r="M15" s="430">
        <f t="shared" si="6"/>
        <v>911.31333333333362</v>
      </c>
      <c r="N15" s="430">
        <f t="shared" si="6"/>
        <v>930.61173333333363</v>
      </c>
      <c r="O15" s="430">
        <f t="shared" si="6"/>
        <v>383.98162933333339</v>
      </c>
      <c r="P15" s="430">
        <f t="shared" si="6"/>
        <v>958.61333333333357</v>
      </c>
      <c r="Q15" s="430">
        <f t="shared" si="6"/>
        <v>338.03733333333327</v>
      </c>
      <c r="R15" s="472"/>
      <c r="S15" s="324"/>
      <c r="T15" s="2"/>
      <c r="U15" s="2"/>
      <c r="V15" s="2"/>
      <c r="W15" s="2"/>
      <c r="X15" s="2"/>
      <c r="Y15" s="318"/>
      <c r="Z15" s="318"/>
      <c r="AA15" s="318"/>
      <c r="AB15" s="318"/>
      <c r="AC15" s="318"/>
      <c r="AD15" s="318"/>
      <c r="AE15" s="318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318"/>
      <c r="AQ15" s="318"/>
      <c r="AR15" s="318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ht="15" customHeight="1" x14ac:dyDescent="0.25">
      <c r="A16" s="427" t="s">
        <v>58</v>
      </c>
      <c r="B16" s="349"/>
      <c r="C16" s="349"/>
      <c r="D16" s="349"/>
      <c r="E16" s="349"/>
      <c r="F16" s="349"/>
      <c r="G16" s="349"/>
      <c r="H16" s="349"/>
      <c r="I16" s="368"/>
      <c r="J16" s="349"/>
      <c r="K16" s="429">
        <f t="shared" ref="K16:Q16" si="7">K5*(MAX(K6,K13))</f>
        <v>878.77777777777771</v>
      </c>
      <c r="L16" s="430">
        <f t="shared" si="7"/>
        <v>582.25777777777785</v>
      </c>
      <c r="M16" s="430">
        <f t="shared" si="7"/>
        <v>1059.666666666667</v>
      </c>
      <c r="N16" s="430">
        <f t="shared" si="7"/>
        <v>1082.106666666667</v>
      </c>
      <c r="O16" s="430">
        <f t="shared" si="7"/>
        <v>446.49026666666674</v>
      </c>
      <c r="P16" s="430">
        <f t="shared" si="7"/>
        <v>1114.666666666667</v>
      </c>
      <c r="Q16" s="430">
        <f t="shared" si="7"/>
        <v>393.06666666666661</v>
      </c>
      <c r="R16" s="472"/>
      <c r="S16" s="324"/>
      <c r="T16" s="2"/>
      <c r="U16" s="2"/>
      <c r="V16" s="2"/>
      <c r="W16" s="2"/>
      <c r="X16" s="2"/>
      <c r="Y16" s="318"/>
      <c r="Z16" s="318"/>
      <c r="AA16" s="318"/>
      <c r="AB16" s="318"/>
      <c r="AC16" s="318"/>
      <c r="AD16" s="318"/>
      <c r="AE16" s="318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318"/>
      <c r="AQ16" s="318"/>
      <c r="AR16" s="318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ht="15" customHeight="1" x14ac:dyDescent="0.25">
      <c r="A17" s="427" t="s">
        <v>57</v>
      </c>
      <c r="B17" s="349"/>
      <c r="C17" s="349"/>
      <c r="D17" s="349"/>
      <c r="E17" s="349"/>
      <c r="F17" s="349"/>
      <c r="G17" s="349"/>
      <c r="H17" s="349"/>
      <c r="I17" s="368"/>
      <c r="J17" s="349"/>
      <c r="K17" s="354"/>
      <c r="L17" s="355"/>
      <c r="M17" s="355"/>
      <c r="N17" s="355"/>
      <c r="O17" s="355"/>
      <c r="P17" s="355"/>
      <c r="Q17" s="355"/>
      <c r="R17" s="472"/>
      <c r="S17" s="324"/>
      <c r="T17" s="2"/>
      <c r="U17" s="2"/>
      <c r="V17" s="2"/>
      <c r="W17" s="2"/>
      <c r="X17" s="2"/>
      <c r="Y17" s="318"/>
      <c r="Z17" s="318"/>
      <c r="AA17" s="318"/>
      <c r="AB17" s="318"/>
      <c r="AC17" s="318"/>
      <c r="AD17" s="318"/>
      <c r="AE17" s="318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318"/>
      <c r="AQ17" s="318"/>
      <c r="AR17" s="318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ht="15" customHeight="1" x14ac:dyDescent="0.25">
      <c r="A18" s="427" t="s">
        <v>56</v>
      </c>
      <c r="B18" s="349"/>
      <c r="C18" s="349"/>
      <c r="D18" s="349"/>
      <c r="E18" s="349"/>
      <c r="F18" s="349"/>
      <c r="G18" s="349"/>
      <c r="H18" s="349"/>
      <c r="I18" s="368"/>
      <c r="J18" s="349"/>
      <c r="K18" s="429">
        <f t="shared" ref="K18:Q18" si="8">K4*(MAX(K3,K20))</f>
        <v>760</v>
      </c>
      <c r="L18" s="430">
        <f t="shared" si="8"/>
        <v>522.5</v>
      </c>
      <c r="M18" s="430">
        <f t="shared" si="8"/>
        <v>935</v>
      </c>
      <c r="N18" s="430">
        <f t="shared" si="8"/>
        <v>1105</v>
      </c>
      <c r="O18" s="430">
        <f t="shared" si="8"/>
        <v>420</v>
      </c>
      <c r="P18" s="430">
        <f t="shared" si="8"/>
        <v>750</v>
      </c>
      <c r="Q18" s="430">
        <f t="shared" si="8"/>
        <v>300</v>
      </c>
      <c r="R18" s="472"/>
      <c r="S18" s="324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318"/>
      <c r="AQ18" s="318"/>
      <c r="AR18" s="318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ht="15" customHeight="1" x14ac:dyDescent="0.25">
      <c r="A19" s="428" t="s">
        <v>55</v>
      </c>
      <c r="B19" s="349"/>
      <c r="C19" s="349"/>
      <c r="D19" s="349"/>
      <c r="E19" s="349"/>
      <c r="F19" s="349"/>
      <c r="G19" s="349"/>
      <c r="H19" s="349"/>
      <c r="I19" s="368"/>
      <c r="J19" s="358"/>
      <c r="K19" s="355"/>
      <c r="L19" s="355"/>
      <c r="M19" s="355"/>
      <c r="N19" s="355"/>
      <c r="O19" s="355"/>
      <c r="P19" s="355"/>
      <c r="Q19" s="355"/>
      <c r="R19" s="472"/>
      <c r="S19" s="324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318"/>
      <c r="AQ19" s="318"/>
      <c r="AR19" s="318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ht="15" customHeight="1" thickBot="1" x14ac:dyDescent="0.3">
      <c r="A20" s="509" t="s">
        <v>52</v>
      </c>
      <c r="B20" s="510">
        <v>1.95</v>
      </c>
      <c r="C20" s="510">
        <v>5</v>
      </c>
      <c r="D20" s="510">
        <f>(6.5/100)*45</f>
        <v>2.9250000000000003</v>
      </c>
      <c r="E20" s="510">
        <f>(6.5/100)*45</f>
        <v>2.9250000000000003</v>
      </c>
      <c r="F20" s="510">
        <v>1.95</v>
      </c>
      <c r="G20" s="510">
        <v>355</v>
      </c>
      <c r="H20" s="510">
        <v>2.94</v>
      </c>
      <c r="I20" s="511"/>
      <c r="J20" s="512"/>
      <c r="K20" s="513">
        <v>1.95</v>
      </c>
      <c r="L20" s="510">
        <v>5</v>
      </c>
      <c r="M20" s="510">
        <f>(6.5/100)*45</f>
        <v>2.9250000000000003</v>
      </c>
      <c r="N20" s="510">
        <f>(6.5/100)*45</f>
        <v>2.9250000000000003</v>
      </c>
      <c r="O20" s="510">
        <v>1.95</v>
      </c>
      <c r="P20" s="510">
        <v>355</v>
      </c>
      <c r="Q20" s="510">
        <v>2.94</v>
      </c>
      <c r="R20" s="514"/>
      <c r="S20" s="324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318"/>
      <c r="AQ20" s="318"/>
      <c r="AR20" s="318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ht="15" customHeight="1" x14ac:dyDescent="0.25">
      <c r="A21" s="2"/>
      <c r="B21" s="2"/>
      <c r="C21" s="2"/>
      <c r="D21" s="2"/>
      <c r="E21" s="2"/>
      <c r="F21" s="2"/>
      <c r="G21" s="2"/>
      <c r="H21" s="2"/>
      <c r="I21" s="600"/>
      <c r="J21" s="2"/>
      <c r="K21" s="2"/>
      <c r="L21" s="2"/>
      <c r="M21" s="2"/>
      <c r="N21" s="2"/>
      <c r="O21" s="2"/>
      <c r="P21" s="2"/>
      <c r="Q21" s="2"/>
      <c r="R21" s="2"/>
      <c r="S21" s="2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318"/>
      <c r="AQ21" s="318"/>
      <c r="AR21" s="318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ht="15" customHeight="1" x14ac:dyDescent="0.25">
      <c r="A22" s="359"/>
      <c r="B22" s="398" t="s">
        <v>89</v>
      </c>
      <c r="C22" s="399"/>
      <c r="D22" s="399"/>
      <c r="E22" s="399"/>
      <c r="F22" s="399"/>
      <c r="G22" s="399"/>
      <c r="H22" s="400"/>
      <c r="I22" s="402"/>
      <c r="J22" s="336"/>
      <c r="K22" s="398" t="s">
        <v>54</v>
      </c>
      <c r="L22" s="399"/>
      <c r="M22" s="399"/>
      <c r="N22" s="399"/>
      <c r="O22" s="399"/>
      <c r="P22" s="399"/>
      <c r="Q22" s="400"/>
      <c r="R22" s="318"/>
      <c r="S22" s="329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318"/>
      <c r="AQ22" s="318"/>
      <c r="AR22" s="318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ht="15" customHeight="1" x14ac:dyDescent="0.25">
      <c r="A23" s="395" t="s">
        <v>47</v>
      </c>
      <c r="B23" s="396" t="s">
        <v>6</v>
      </c>
      <c r="C23" s="327" t="s">
        <v>9</v>
      </c>
      <c r="D23" s="327" t="s">
        <v>46</v>
      </c>
      <c r="E23" s="327" t="s">
        <v>97</v>
      </c>
      <c r="F23" s="327" t="s">
        <v>10</v>
      </c>
      <c r="G23" s="397" t="s">
        <v>98</v>
      </c>
      <c r="H23" s="357" t="s">
        <v>11</v>
      </c>
      <c r="I23" s="395" t="s">
        <v>47</v>
      </c>
      <c r="J23" s="336"/>
      <c r="K23" s="325" t="s">
        <v>6</v>
      </c>
      <c r="L23" s="326" t="s">
        <v>9</v>
      </c>
      <c r="M23" s="326" t="s">
        <v>46</v>
      </c>
      <c r="N23" s="326" t="s">
        <v>97</v>
      </c>
      <c r="O23" s="326" t="s">
        <v>10</v>
      </c>
      <c r="P23" s="387" t="s">
        <v>98</v>
      </c>
      <c r="Q23" s="401" t="s">
        <v>11</v>
      </c>
      <c r="R23" s="318"/>
      <c r="S23" s="329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318"/>
      <c r="AQ23" s="318"/>
      <c r="AR23" s="318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ht="15" customHeight="1" x14ac:dyDescent="0.25">
      <c r="A24" s="583">
        <v>2014</v>
      </c>
      <c r="B24" s="582"/>
      <c r="C24" s="584"/>
      <c r="D24" s="584"/>
      <c r="E24" s="584"/>
      <c r="F24" s="584"/>
      <c r="G24" s="585"/>
      <c r="H24" s="586"/>
      <c r="I24" s="583">
        <v>2015</v>
      </c>
      <c r="J24" s="392"/>
      <c r="K24" s="588">
        <v>186</v>
      </c>
      <c r="L24" s="588">
        <v>55.254948499776084</v>
      </c>
      <c r="M24" s="588">
        <v>164.44444444444446</v>
      </c>
      <c r="N24" s="588">
        <v>164.44444444444446</v>
      </c>
      <c r="O24" s="588">
        <v>100</v>
      </c>
      <c r="P24" s="589">
        <v>2</v>
      </c>
      <c r="Q24" s="590">
        <v>56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ht="15" customHeight="1" x14ac:dyDescent="0.25">
      <c r="A25" s="583">
        <v>2013</v>
      </c>
      <c r="B25" s="587"/>
      <c r="C25" s="588"/>
      <c r="D25" s="588"/>
      <c r="E25" s="588"/>
      <c r="F25" s="588"/>
      <c r="G25" s="589"/>
      <c r="H25" s="590"/>
      <c r="I25" s="583">
        <v>2014</v>
      </c>
      <c r="J25" s="392"/>
      <c r="K25" s="588">
        <v>187</v>
      </c>
      <c r="L25" s="588">
        <v>52.5</v>
      </c>
      <c r="M25" s="588">
        <v>168</v>
      </c>
      <c r="N25" s="588">
        <v>168</v>
      </c>
      <c r="O25" s="588">
        <v>97</v>
      </c>
      <c r="P25" s="589">
        <v>2</v>
      </c>
      <c r="Q25" s="590">
        <v>63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ht="15" customHeight="1" x14ac:dyDescent="0.25">
      <c r="A26" s="583">
        <v>2012</v>
      </c>
      <c r="B26" s="587">
        <v>168.14516129032259</v>
      </c>
      <c r="C26" s="588">
        <v>51.83946488294314</v>
      </c>
      <c r="D26" s="588">
        <v>166.39566395663957</v>
      </c>
      <c r="E26" s="588">
        <v>166.39566395663957</v>
      </c>
      <c r="F26" s="588">
        <v>60.909090909090907</v>
      </c>
      <c r="G26" s="589">
        <f>2582/2000</f>
        <v>1.2909999999999999</v>
      </c>
      <c r="H26" s="590">
        <v>44.5</v>
      </c>
      <c r="I26" s="583">
        <v>2013</v>
      </c>
      <c r="J26" s="392"/>
      <c r="K26" s="588">
        <v>186</v>
      </c>
      <c r="L26" s="588">
        <v>46.4</v>
      </c>
      <c r="M26" s="588">
        <v>168</v>
      </c>
      <c r="N26" s="588">
        <v>168</v>
      </c>
      <c r="O26" s="588">
        <v>102</v>
      </c>
      <c r="P26" s="589">
        <v>1.85</v>
      </c>
      <c r="Q26" s="590">
        <v>62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ht="15" customHeight="1" x14ac:dyDescent="0.25">
      <c r="A27" s="583">
        <v>2011</v>
      </c>
      <c r="B27" s="587">
        <v>128.11059907834101</v>
      </c>
      <c r="C27" s="588">
        <v>44.316109422492403</v>
      </c>
      <c r="D27" s="588">
        <v>132.75720164609052</v>
      </c>
      <c r="E27" s="588">
        <v>132.75720164609052</v>
      </c>
      <c r="F27" s="588">
        <v>49.603174603174601</v>
      </c>
      <c r="G27" s="589">
        <f t="shared" ref="G27:G30" si="9">2582/2000</f>
        <v>1.2909999999999999</v>
      </c>
      <c r="H27" s="590">
        <v>48.645161290322584</v>
      </c>
      <c r="I27" s="583">
        <v>2012</v>
      </c>
      <c r="J27" s="392"/>
      <c r="K27" s="588">
        <v>178</v>
      </c>
      <c r="L27" s="588">
        <v>48.3</v>
      </c>
      <c r="M27" s="588">
        <v>166.22222222222223</v>
      </c>
      <c r="N27" s="588">
        <v>166.22222222222223</v>
      </c>
      <c r="O27" s="588">
        <v>84</v>
      </c>
      <c r="P27" s="589">
        <v>2.2000000000000002</v>
      </c>
      <c r="Q27" s="590">
        <v>55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ht="15" customHeight="1" x14ac:dyDescent="0.25">
      <c r="A28" s="583">
        <v>2010</v>
      </c>
      <c r="B28" s="587">
        <v>162.53886010362694</v>
      </c>
      <c r="C28" s="588">
        <v>41.466666666666669</v>
      </c>
      <c r="D28" s="588">
        <v>146.9135802469136</v>
      </c>
      <c r="E28" s="588">
        <v>146.9135802469136</v>
      </c>
      <c r="F28" s="588">
        <v>45.172413793103445</v>
      </c>
      <c r="G28" s="589">
        <f t="shared" si="9"/>
        <v>1.2909999999999999</v>
      </c>
      <c r="H28" s="590">
        <v>39.405405405405403</v>
      </c>
      <c r="I28" s="591">
        <v>2011</v>
      </c>
      <c r="J28" s="604"/>
      <c r="K28" s="593">
        <v>141</v>
      </c>
      <c r="L28" s="593">
        <v>42.2</v>
      </c>
      <c r="M28" s="593">
        <v>150.44444444444446</v>
      </c>
      <c r="N28" s="593">
        <v>150.44444444444446</v>
      </c>
      <c r="O28" s="593">
        <v>72</v>
      </c>
      <c r="P28" s="594">
        <v>2</v>
      </c>
      <c r="Q28" s="595">
        <v>58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ht="15" customHeight="1" x14ac:dyDescent="0.25">
      <c r="A29" s="583">
        <v>2009</v>
      </c>
      <c r="B29" s="587">
        <v>159.70149253731344</v>
      </c>
      <c r="C29" s="588">
        <v>44.91017964071856</v>
      </c>
      <c r="D29" s="588">
        <v>156.26787057938301</v>
      </c>
      <c r="E29" s="588">
        <v>156.26787057938301</v>
      </c>
      <c r="F29" s="588">
        <v>57.386363636363633</v>
      </c>
      <c r="G29" s="589">
        <f t="shared" si="9"/>
        <v>1.2909999999999999</v>
      </c>
      <c r="H29" s="590">
        <v>39.285714285714285</v>
      </c>
      <c r="I29" s="366"/>
      <c r="J29" s="605"/>
      <c r="K29" s="587"/>
      <c r="L29" s="588"/>
      <c r="M29" s="588"/>
      <c r="N29" s="588"/>
      <c r="O29" s="588"/>
      <c r="P29" s="589"/>
      <c r="Q29" s="590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ht="15" customHeight="1" x14ac:dyDescent="0.25">
      <c r="A30" s="591">
        <v>2008</v>
      </c>
      <c r="B30" s="592">
        <v>157.14285714285714</v>
      </c>
      <c r="C30" s="593">
        <v>47.454545454545453</v>
      </c>
      <c r="D30" s="593">
        <v>152.69323671497582</v>
      </c>
      <c r="E30" s="593">
        <v>152.69323671497582</v>
      </c>
      <c r="F30" s="593">
        <v>83.777777777777771</v>
      </c>
      <c r="G30" s="594">
        <f t="shared" si="9"/>
        <v>1.2909999999999999</v>
      </c>
      <c r="H30" s="595">
        <v>52.336448598130843</v>
      </c>
      <c r="I30" s="366"/>
      <c r="J30" s="336"/>
      <c r="K30" s="592"/>
      <c r="L30" s="593"/>
      <c r="M30" s="593"/>
      <c r="N30" s="593"/>
      <c r="O30" s="593"/>
      <c r="P30" s="594"/>
      <c r="Q30" s="595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ht="15" customHeight="1" x14ac:dyDescent="0.25">
      <c r="A31" s="442"/>
      <c r="B31" s="442"/>
      <c r="C31" s="441"/>
      <c r="D31" s="441"/>
      <c r="E31" s="441"/>
      <c r="F31" s="441"/>
      <c r="G31" s="418"/>
      <c r="H31" s="448"/>
      <c r="I31" s="366"/>
      <c r="J31" s="336"/>
      <c r="K31" s="442"/>
      <c r="L31" s="441"/>
      <c r="M31" s="441"/>
      <c r="N31" s="441"/>
      <c r="O31" s="441"/>
      <c r="P31" s="418"/>
      <c r="Q31" s="448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ht="15" customHeight="1" x14ac:dyDescent="0.25">
      <c r="A32" s="463" t="s">
        <v>111</v>
      </c>
      <c r="B32" s="443"/>
      <c r="C32" s="417"/>
      <c r="D32" s="444"/>
      <c r="E32" s="444"/>
      <c r="F32" s="444"/>
      <c r="G32" s="418"/>
      <c r="H32" s="449"/>
      <c r="I32" s="366"/>
      <c r="J32" s="336"/>
      <c r="K32" s="416">
        <f>(SUM(K24:K28)-MIN(K24:K28)-MAX(K24:K28))/3</f>
        <v>183.33333333333334</v>
      </c>
      <c r="L32" s="417">
        <f t="shared" ref="L32:Q32" si="10">(SUM(L24:L28)-MIN(L24:L28)-MAX(L24:L28))/3</f>
        <v>49.06666666666667</v>
      </c>
      <c r="M32" s="417">
        <f t="shared" si="10"/>
        <v>166.22222222222226</v>
      </c>
      <c r="N32" s="417">
        <f t="shared" si="10"/>
        <v>166.22222222222226</v>
      </c>
      <c r="O32" s="417">
        <f t="shared" si="10"/>
        <v>93.666666666666671</v>
      </c>
      <c r="P32" s="418">
        <f t="shared" si="10"/>
        <v>2.0000000000000004</v>
      </c>
      <c r="Q32" s="449">
        <f t="shared" si="10"/>
        <v>58.666666666666664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ht="15" customHeight="1" x14ac:dyDescent="0.25">
      <c r="A33" s="464" t="s">
        <v>101</v>
      </c>
      <c r="B33" s="445">
        <f t="shared" ref="B33:H33" si="11">AVERAGE(B26:B30)</f>
        <v>155.12779403049223</v>
      </c>
      <c r="C33" s="446">
        <f t="shared" si="11"/>
        <v>45.997393213473245</v>
      </c>
      <c r="D33" s="446">
        <f t="shared" si="11"/>
        <v>151.00551062880052</v>
      </c>
      <c r="E33" s="446">
        <f t="shared" si="11"/>
        <v>151.00551062880052</v>
      </c>
      <c r="F33" s="446">
        <f t="shared" si="11"/>
        <v>59.369764143902067</v>
      </c>
      <c r="G33" s="447">
        <f t="shared" si="11"/>
        <v>1.2909999999999999</v>
      </c>
      <c r="H33" s="452">
        <f t="shared" si="11"/>
        <v>44.834545915914624</v>
      </c>
      <c r="I33" s="403"/>
      <c r="J33" s="336"/>
      <c r="K33" s="450"/>
      <c r="L33" s="446"/>
      <c r="M33" s="451"/>
      <c r="N33" s="451"/>
      <c r="O33" s="451"/>
      <c r="P33" s="447"/>
      <c r="Q33" s="45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ht="15" customHeight="1" x14ac:dyDescent="0.25">
      <c r="A34" s="318"/>
      <c r="B34" s="318"/>
      <c r="C34" s="318"/>
      <c r="D34" s="318"/>
      <c r="E34" s="318"/>
      <c r="F34" s="318"/>
      <c r="G34" s="386"/>
      <c r="H34" s="318"/>
      <c r="I34" s="366"/>
      <c r="J34" s="605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ht="15" customHeight="1" x14ac:dyDescent="0.25">
      <c r="A35" s="318"/>
      <c r="B35" s="350" t="s">
        <v>68</v>
      </c>
      <c r="C35" s="318"/>
      <c r="D35" s="318"/>
      <c r="E35" s="318"/>
      <c r="F35" s="318"/>
      <c r="G35" s="386"/>
      <c r="H35" s="318"/>
      <c r="I35" s="366"/>
      <c r="J35" s="336"/>
      <c r="K35" s="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ht="15" customHeight="1" x14ac:dyDescent="0.25">
      <c r="A36" s="318"/>
      <c r="B36" s="350" t="s">
        <v>66</v>
      </c>
      <c r="C36" s="318"/>
      <c r="D36" s="318"/>
      <c r="E36" s="318"/>
      <c r="F36" s="318"/>
      <c r="G36" s="386"/>
      <c r="H36" s="318"/>
      <c r="I36" s="366"/>
      <c r="J36" s="336"/>
      <c r="K36" s="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ht="15" customHeight="1" x14ac:dyDescent="0.25">
      <c r="A37" s="318"/>
      <c r="B37" s="439">
        <f t="shared" ref="B37:H37" si="12">B33*0.9</f>
        <v>139.615014627443</v>
      </c>
      <c r="C37" s="439">
        <f t="shared" si="12"/>
        <v>41.397653892125923</v>
      </c>
      <c r="D37" s="439">
        <f t="shared" si="12"/>
        <v>135.90495956592048</v>
      </c>
      <c r="E37" s="439">
        <f t="shared" si="12"/>
        <v>135.90495956592048</v>
      </c>
      <c r="F37" s="439">
        <f t="shared" si="12"/>
        <v>53.432787729511858</v>
      </c>
      <c r="G37" s="440">
        <f t="shared" si="12"/>
        <v>1.1618999999999999</v>
      </c>
      <c r="H37" s="439">
        <f t="shared" si="12"/>
        <v>40.351091324323164</v>
      </c>
      <c r="I37" s="403"/>
      <c r="J37" s="336"/>
      <c r="K37" s="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x14ac:dyDescent="0.25">
      <c r="A38" s="318"/>
      <c r="B38" s="602"/>
      <c r="C38" s="602"/>
      <c r="D38" s="602"/>
      <c r="E38" s="602"/>
      <c r="F38" s="602"/>
      <c r="G38" s="602"/>
      <c r="H38" s="602"/>
      <c r="I38" s="392"/>
      <c r="J38" s="392"/>
      <c r="K38" s="225"/>
      <c r="L38" s="600"/>
      <c r="M38" s="600"/>
      <c r="N38" s="600"/>
      <c r="O38" s="600"/>
      <c r="P38" s="600"/>
      <c r="Q38" s="600"/>
      <c r="R38" s="600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x14ac:dyDescent="0.25">
      <c r="A39" s="2"/>
      <c r="B39" s="600"/>
      <c r="C39" s="600"/>
      <c r="D39" s="600"/>
      <c r="E39" s="600"/>
      <c r="F39" s="600"/>
      <c r="G39" s="600"/>
      <c r="H39" s="600"/>
      <c r="I39" s="392"/>
      <c r="J39" s="392"/>
      <c r="K39" s="225"/>
      <c r="L39" s="600"/>
      <c r="M39" s="600"/>
      <c r="N39" s="600"/>
      <c r="O39" s="600"/>
      <c r="P39" s="600"/>
      <c r="Q39" s="600"/>
      <c r="R39" s="600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x14ac:dyDescent="0.25">
      <c r="A40" s="2"/>
      <c r="B40" s="600"/>
      <c r="C40" s="600"/>
      <c r="D40" s="600"/>
      <c r="E40" s="600"/>
      <c r="F40" s="600"/>
      <c r="G40" s="600"/>
      <c r="H40" s="600"/>
      <c r="I40" s="392"/>
      <c r="J40" s="392"/>
      <c r="K40" s="225"/>
      <c r="L40" s="600"/>
      <c r="M40" s="600"/>
      <c r="N40" s="600"/>
      <c r="O40" s="600"/>
      <c r="P40" s="600"/>
      <c r="Q40" s="600"/>
      <c r="R40" s="600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x14ac:dyDescent="0.25">
      <c r="A41" s="2"/>
      <c r="B41" s="600"/>
      <c r="C41" s="600"/>
      <c r="D41" s="600"/>
      <c r="E41" s="600"/>
      <c r="F41" s="600"/>
      <c r="G41" s="600"/>
      <c r="H41" s="600"/>
      <c r="I41" s="392"/>
      <c r="J41" s="392"/>
      <c r="K41" s="225"/>
      <c r="L41" s="600"/>
      <c r="M41" s="600"/>
      <c r="N41" s="600"/>
      <c r="O41" s="600"/>
      <c r="P41" s="600"/>
      <c r="Q41" s="600"/>
      <c r="R41" s="600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x14ac:dyDescent="0.25">
      <c r="A42" s="2"/>
      <c r="B42" s="600"/>
      <c r="C42" s="600"/>
      <c r="D42" s="600"/>
      <c r="E42" s="600"/>
      <c r="F42" s="600"/>
      <c r="G42" s="600"/>
      <c r="H42" s="600"/>
      <c r="I42" s="392"/>
      <c r="J42" s="392"/>
      <c r="K42" s="225"/>
      <c r="L42" s="600"/>
      <c r="M42" s="600"/>
      <c r="N42" s="600"/>
      <c r="O42" s="600"/>
      <c r="P42" s="600"/>
      <c r="Q42" s="600"/>
      <c r="R42" s="600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x14ac:dyDescent="0.25">
      <c r="A43" s="2"/>
      <c r="B43" s="600"/>
      <c r="C43" s="600"/>
      <c r="D43" s="600"/>
      <c r="E43" s="600"/>
      <c r="F43" s="600"/>
      <c r="G43" s="600"/>
      <c r="H43" s="600"/>
      <c r="I43" s="392"/>
      <c r="J43" s="392"/>
      <c r="K43" s="225"/>
      <c r="L43" s="600"/>
      <c r="M43" s="600"/>
      <c r="N43" s="600"/>
      <c r="O43" s="600"/>
      <c r="P43" s="600"/>
      <c r="Q43" s="600"/>
      <c r="R43" s="600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x14ac:dyDescent="0.25">
      <c r="A44" s="2"/>
      <c r="B44" s="600"/>
      <c r="C44" s="600"/>
      <c r="D44" s="600"/>
      <c r="E44" s="600"/>
      <c r="F44" s="600"/>
      <c r="G44" s="600"/>
      <c r="H44" s="600"/>
      <c r="I44" s="392"/>
      <c r="J44" s="392"/>
      <c r="K44" s="225"/>
      <c r="L44" s="600"/>
      <c r="M44" s="600"/>
      <c r="N44" s="600"/>
      <c r="O44" s="600"/>
      <c r="P44" s="600"/>
      <c r="Q44" s="600"/>
      <c r="R44" s="600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x14ac:dyDescent="0.25">
      <c r="A45" s="2"/>
      <c r="B45" s="600"/>
      <c r="C45" s="600"/>
      <c r="D45" s="600"/>
      <c r="E45" s="600"/>
      <c r="F45" s="600"/>
      <c r="G45" s="600"/>
      <c r="H45" s="600"/>
      <c r="I45" s="392"/>
      <c r="J45" s="392"/>
      <c r="K45" s="225"/>
      <c r="L45" s="600"/>
      <c r="M45" s="600"/>
      <c r="N45" s="600"/>
      <c r="O45" s="600"/>
      <c r="P45" s="600"/>
      <c r="Q45" s="600"/>
      <c r="R45" s="600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x14ac:dyDescent="0.25">
      <c r="A46" s="2"/>
      <c r="B46" s="600"/>
      <c r="C46" s="600"/>
      <c r="D46" s="600"/>
      <c r="E46" s="600"/>
      <c r="F46" s="600"/>
      <c r="G46" s="600"/>
      <c r="H46" s="600"/>
      <c r="I46" s="392"/>
      <c r="J46" s="392"/>
      <c r="K46" s="225"/>
      <c r="L46" s="600"/>
      <c r="M46" s="600"/>
      <c r="N46" s="600"/>
      <c r="O46" s="600"/>
      <c r="P46" s="600"/>
      <c r="Q46" s="600"/>
      <c r="R46" s="600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x14ac:dyDescent="0.25">
      <c r="A47" s="2"/>
      <c r="B47" s="600"/>
      <c r="C47" s="600"/>
      <c r="D47" s="600"/>
      <c r="E47" s="600"/>
      <c r="F47" s="600"/>
      <c r="G47" s="600"/>
      <c r="H47" s="600"/>
      <c r="I47" s="392"/>
      <c r="J47" s="392"/>
      <c r="K47" s="225"/>
      <c r="L47" s="600"/>
      <c r="M47" s="600"/>
      <c r="N47" s="600"/>
      <c r="O47" s="600"/>
      <c r="P47" s="600"/>
      <c r="Q47" s="600"/>
      <c r="R47" s="600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58" x14ac:dyDescent="0.25">
      <c r="B48" s="603"/>
      <c r="C48" s="603"/>
      <c r="D48" s="603"/>
      <c r="E48" s="603"/>
      <c r="F48" s="603"/>
      <c r="G48" s="603"/>
      <c r="H48" s="603"/>
      <c r="I48" s="601"/>
      <c r="J48" s="601"/>
      <c r="K48" s="601"/>
      <c r="L48" s="603"/>
      <c r="M48" s="603"/>
      <c r="N48" s="603"/>
      <c r="O48" s="603"/>
      <c r="P48" s="603"/>
      <c r="Q48" s="603"/>
      <c r="R48" s="603"/>
    </row>
  </sheetData>
  <sheetProtection sheet="1" objects="1" scenarios="1" selectLockedCells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workbookViewId="0">
      <selection activeCell="B3" sqref="B3"/>
    </sheetView>
  </sheetViews>
  <sheetFormatPr defaultRowHeight="13.8" x14ac:dyDescent="0.25"/>
  <cols>
    <col min="1" max="1" width="37" bestFit="1" customWidth="1"/>
    <col min="10" max="10" width="1.6640625" customWidth="1"/>
    <col min="19" max="19" width="1.6640625" customWidth="1"/>
  </cols>
  <sheetData>
    <row r="1" spans="1:47" ht="15" customHeight="1" x14ac:dyDescent="0.25">
      <c r="A1" s="310"/>
      <c r="B1" s="311" t="s">
        <v>93</v>
      </c>
      <c r="C1" s="311"/>
      <c r="D1" s="311"/>
      <c r="E1" s="311"/>
      <c r="F1" s="311"/>
      <c r="G1" s="311"/>
      <c r="H1" s="312"/>
      <c r="I1" s="311"/>
      <c r="J1" s="313"/>
      <c r="K1" s="314" t="s">
        <v>92</v>
      </c>
      <c r="L1" s="311"/>
      <c r="M1" s="311"/>
      <c r="N1" s="311"/>
      <c r="O1" s="311"/>
      <c r="P1" s="311"/>
      <c r="Q1" s="311"/>
      <c r="R1" s="315"/>
      <c r="S1" s="317"/>
      <c r="T1" s="2"/>
      <c r="U1" s="4"/>
      <c r="V1" s="4"/>
      <c r="W1" s="4"/>
      <c r="X1" s="4"/>
      <c r="Y1" s="4"/>
      <c r="Z1" s="404"/>
      <c r="AA1" s="2"/>
      <c r="AB1" s="2"/>
      <c r="AC1" s="2"/>
      <c r="AD1" s="2"/>
      <c r="AE1" s="2"/>
      <c r="AF1" s="2"/>
      <c r="AG1" s="318"/>
      <c r="AH1" s="318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5" customHeight="1" x14ac:dyDescent="0.25">
      <c r="A2" s="371" t="s">
        <v>84</v>
      </c>
      <c r="B2" s="319" t="s">
        <v>6</v>
      </c>
      <c r="C2" s="319" t="s">
        <v>9</v>
      </c>
      <c r="D2" s="319" t="s">
        <v>46</v>
      </c>
      <c r="E2" s="319" t="s">
        <v>97</v>
      </c>
      <c r="F2" s="319" t="s">
        <v>10</v>
      </c>
      <c r="G2" s="319" t="s">
        <v>98</v>
      </c>
      <c r="H2" s="320" t="s">
        <v>11</v>
      </c>
      <c r="I2" s="321" t="s">
        <v>12</v>
      </c>
      <c r="J2" s="322"/>
      <c r="K2" s="323" t="s">
        <v>6</v>
      </c>
      <c r="L2" s="319" t="s">
        <v>9</v>
      </c>
      <c r="M2" s="319" t="s">
        <v>46</v>
      </c>
      <c r="N2" s="319" t="s">
        <v>97</v>
      </c>
      <c r="O2" s="319" t="s">
        <v>10</v>
      </c>
      <c r="P2" s="319" t="s">
        <v>98</v>
      </c>
      <c r="Q2" s="319" t="s">
        <v>11</v>
      </c>
      <c r="R2" s="321" t="s">
        <v>12</v>
      </c>
      <c r="S2" s="324"/>
      <c r="T2" s="2"/>
      <c r="U2" s="4"/>
      <c r="V2" s="4"/>
      <c r="W2" s="4"/>
      <c r="X2" s="4"/>
      <c r="Y2" s="4"/>
      <c r="Z2" s="329"/>
      <c r="AA2" s="2"/>
      <c r="AB2" s="2"/>
      <c r="AC2" s="2"/>
      <c r="AD2" s="2"/>
      <c r="AE2" s="2"/>
      <c r="AF2" s="2"/>
      <c r="AG2" s="318"/>
      <c r="AH2" s="318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5" customHeight="1" x14ac:dyDescent="0.25">
      <c r="A3" s="372" t="s">
        <v>61</v>
      </c>
      <c r="B3" s="331">
        <v>4</v>
      </c>
      <c r="C3" s="332">
        <v>9.5</v>
      </c>
      <c r="D3" s="332">
        <v>5.5</v>
      </c>
      <c r="E3" s="332">
        <v>6.5</v>
      </c>
      <c r="F3" s="332">
        <v>4.2</v>
      </c>
      <c r="G3" s="332">
        <v>375</v>
      </c>
      <c r="H3" s="365">
        <v>5</v>
      </c>
      <c r="I3" s="465"/>
      <c r="J3" s="333"/>
      <c r="K3" s="332">
        <v>4</v>
      </c>
      <c r="L3" s="332">
        <v>9.5</v>
      </c>
      <c r="M3" s="332">
        <v>5.5</v>
      </c>
      <c r="N3" s="332">
        <v>6.5</v>
      </c>
      <c r="O3" s="332">
        <v>4.2</v>
      </c>
      <c r="P3" s="365">
        <v>375</v>
      </c>
      <c r="Q3" s="332">
        <v>5</v>
      </c>
      <c r="R3" s="361"/>
      <c r="S3" s="324"/>
      <c r="T3" s="2"/>
      <c r="U3" s="4"/>
      <c r="V3" s="4"/>
      <c r="W3" s="4"/>
      <c r="X3" s="4"/>
      <c r="Y3" s="4"/>
      <c r="Z3" s="329"/>
      <c r="AA3" s="2"/>
      <c r="AB3" s="2"/>
      <c r="AC3" s="2"/>
      <c r="AD3" s="2"/>
      <c r="AE3" s="2"/>
      <c r="AF3" s="2"/>
      <c r="AG3" s="318"/>
      <c r="AH3" s="318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5" customHeight="1" x14ac:dyDescent="0.25">
      <c r="A4" s="372" t="s">
        <v>82</v>
      </c>
      <c r="B4" s="335"/>
      <c r="C4" s="336"/>
      <c r="D4" s="336"/>
      <c r="E4" s="336"/>
      <c r="F4" s="336"/>
      <c r="G4" s="362"/>
      <c r="H4" s="362"/>
      <c r="I4" s="367"/>
      <c r="J4" s="334"/>
      <c r="K4" s="390">
        <v>190</v>
      </c>
      <c r="L4" s="390">
        <v>55</v>
      </c>
      <c r="M4" s="390">
        <v>170</v>
      </c>
      <c r="N4" s="390">
        <v>170</v>
      </c>
      <c r="O4" s="390">
        <v>100</v>
      </c>
      <c r="P4" s="391">
        <v>2</v>
      </c>
      <c r="Q4" s="390">
        <v>60</v>
      </c>
      <c r="R4" s="383"/>
      <c r="S4" s="324"/>
      <c r="T4" s="2"/>
      <c r="U4" s="4"/>
      <c r="V4" s="4"/>
      <c r="W4" s="4"/>
      <c r="X4" s="4"/>
      <c r="Y4" s="4"/>
      <c r="Z4" s="329"/>
      <c r="AA4" s="2"/>
      <c r="AB4" s="2"/>
      <c r="AC4" s="2"/>
      <c r="AD4" s="2"/>
      <c r="AE4" s="2"/>
      <c r="AF4" s="2"/>
      <c r="AG4" s="318"/>
      <c r="AH4" s="318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5" customHeight="1" x14ac:dyDescent="0.25">
      <c r="A5" s="372" t="s">
        <v>81</v>
      </c>
      <c r="B5" s="335"/>
      <c r="C5" s="336"/>
      <c r="D5" s="336"/>
      <c r="E5" s="336"/>
      <c r="F5" s="336"/>
      <c r="G5" s="362"/>
      <c r="H5" s="362"/>
      <c r="I5" s="366"/>
      <c r="J5" s="334"/>
      <c r="K5" s="579">
        <f>PLC_ARC_ShareRent!K32</f>
        <v>183.33333333333334</v>
      </c>
      <c r="L5" s="579">
        <f>PLC_ARC_ShareRent!L32</f>
        <v>49.06666666666667</v>
      </c>
      <c r="M5" s="579">
        <f>PLC_ARC_ShareRent!M32</f>
        <v>166.22222222222226</v>
      </c>
      <c r="N5" s="579">
        <f>N32</f>
        <v>166.22222222222226</v>
      </c>
      <c r="O5" s="579">
        <f>PLC_ARC_ShareRent!O32</f>
        <v>93.666666666666671</v>
      </c>
      <c r="P5" s="596">
        <f>P32</f>
        <v>2.0000000000000004</v>
      </c>
      <c r="Q5" s="579">
        <f>PLC_ARC_ShareRent!Q32</f>
        <v>58.666666666666664</v>
      </c>
      <c r="R5" s="383"/>
      <c r="S5" s="324"/>
      <c r="T5" s="2"/>
      <c r="U5" s="4"/>
      <c r="V5" s="4"/>
      <c r="W5" s="4"/>
      <c r="X5" s="4"/>
      <c r="Y5" s="4"/>
      <c r="Z5" s="329"/>
      <c r="AA5" s="2"/>
      <c r="AB5" s="2"/>
      <c r="AC5" s="2"/>
      <c r="AD5" s="2"/>
      <c r="AE5" s="2"/>
      <c r="AF5" s="2"/>
      <c r="AG5" s="318"/>
      <c r="AH5" s="318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5" customHeight="1" x14ac:dyDescent="0.25">
      <c r="A6" s="372" t="s">
        <v>80</v>
      </c>
      <c r="B6" s="335"/>
      <c r="C6" s="336"/>
      <c r="D6" s="336"/>
      <c r="E6" s="336"/>
      <c r="F6" s="336"/>
      <c r="G6" s="362"/>
      <c r="H6" s="362"/>
      <c r="I6" s="366"/>
      <c r="J6" s="334"/>
      <c r="K6" s="597">
        <f>PLC_ARC_National_Price!B19</f>
        <v>4.793333333333333</v>
      </c>
      <c r="L6" s="597">
        <f>PLC_ARC_National_Price!C19</f>
        <v>11.866666666666667</v>
      </c>
      <c r="M6" s="597">
        <f>PLC_ARC_National_Price!D19</f>
        <v>6.3750000000000009</v>
      </c>
      <c r="N6" s="597">
        <f>PLC_ARC_National_Price!E19</f>
        <v>6.5100000000000007</v>
      </c>
      <c r="O6" s="597">
        <f>PLC_ARC_National_Price!F19</f>
        <v>4.7668000000000008</v>
      </c>
      <c r="P6" s="598">
        <f>PLC_ARC_National_Price!G19</f>
        <v>557.33333333333337</v>
      </c>
      <c r="Q6" s="597">
        <f>PLC_ARC_National_Price!H19</f>
        <v>6.6999999999999993</v>
      </c>
      <c r="R6" s="361"/>
      <c r="S6" s="324"/>
      <c r="T6" s="2"/>
      <c r="U6" s="4"/>
      <c r="V6" s="4"/>
      <c r="W6" s="4"/>
      <c r="X6" s="4"/>
      <c r="Y6" s="4"/>
      <c r="Z6" s="329"/>
      <c r="AA6" s="2"/>
      <c r="AB6" s="2"/>
      <c r="AC6" s="2"/>
      <c r="AD6" s="2"/>
      <c r="AE6" s="2"/>
      <c r="AF6" s="2"/>
      <c r="AG6" s="318"/>
      <c r="AH6" s="318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5" customHeight="1" x14ac:dyDescent="0.25">
      <c r="A7" s="372" t="s">
        <v>79</v>
      </c>
      <c r="B7" s="578">
        <f>0.9*PLC_ARC_ShareRent!B33</f>
        <v>139.615014627443</v>
      </c>
      <c r="C7" s="579">
        <f>0.9*PLC_ARC_ShareRent!C33</f>
        <v>41.397653892125923</v>
      </c>
      <c r="D7" s="579">
        <f>0.9*PLC_ARC_ShareRent!D33</f>
        <v>135.90495956592048</v>
      </c>
      <c r="E7" s="579">
        <f>0.9*E33</f>
        <v>135.90495956592048</v>
      </c>
      <c r="F7" s="579">
        <f>0.9*PLC_ARC_ShareRent!F33</f>
        <v>53.432787729511858</v>
      </c>
      <c r="G7" s="580">
        <f>0.9*G33</f>
        <v>1.1618999999999999</v>
      </c>
      <c r="H7" s="581">
        <f>0.9*PLC_ARC_ShareRent!H33</f>
        <v>40.351091324323164</v>
      </c>
      <c r="I7" s="367"/>
      <c r="J7" s="339"/>
      <c r="K7" s="337" t="s">
        <v>40</v>
      </c>
      <c r="L7" s="337" t="s">
        <v>40</v>
      </c>
      <c r="M7" s="337" t="s">
        <v>40</v>
      </c>
      <c r="N7" s="337" t="s">
        <v>40</v>
      </c>
      <c r="O7" s="337" t="s">
        <v>40</v>
      </c>
      <c r="P7" s="369"/>
      <c r="Q7" s="337" t="s">
        <v>40</v>
      </c>
      <c r="R7" s="384"/>
      <c r="S7" s="324"/>
      <c r="T7" s="2"/>
      <c r="U7" s="4"/>
      <c r="V7" s="4"/>
      <c r="W7" s="4"/>
      <c r="X7" s="4"/>
      <c r="Y7" s="4"/>
      <c r="Z7" s="329"/>
      <c r="AA7" s="2"/>
      <c r="AB7" s="2"/>
      <c r="AC7" s="2"/>
      <c r="AD7" s="2"/>
      <c r="AE7" s="2"/>
      <c r="AF7" s="2"/>
      <c r="AG7" s="318"/>
      <c r="AH7" s="318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15" customHeight="1" x14ac:dyDescent="0.25">
      <c r="A8" s="372" t="s">
        <v>78</v>
      </c>
      <c r="B8" s="340">
        <v>0</v>
      </c>
      <c r="C8" s="341">
        <v>0</v>
      </c>
      <c r="D8" s="341">
        <v>600</v>
      </c>
      <c r="E8" s="341">
        <v>0</v>
      </c>
      <c r="F8" s="341">
        <v>0</v>
      </c>
      <c r="G8" s="363">
        <v>0</v>
      </c>
      <c r="H8" s="363">
        <v>0</v>
      </c>
      <c r="I8" s="599"/>
      <c r="J8" s="339"/>
      <c r="K8" s="341">
        <v>0</v>
      </c>
      <c r="L8" s="341">
        <v>1200</v>
      </c>
      <c r="M8" s="341">
        <v>0</v>
      </c>
      <c r="N8" s="341">
        <v>0</v>
      </c>
      <c r="O8" s="341">
        <v>0</v>
      </c>
      <c r="P8" s="363">
        <v>0</v>
      </c>
      <c r="Q8" s="341">
        <v>0</v>
      </c>
      <c r="R8" s="385"/>
      <c r="S8" s="324"/>
      <c r="T8" s="2"/>
      <c r="U8" s="4"/>
      <c r="V8" s="4"/>
      <c r="W8" s="4"/>
      <c r="X8" s="4"/>
      <c r="Y8" s="4"/>
      <c r="Z8" s="329"/>
      <c r="AA8" s="2"/>
      <c r="AB8" s="2"/>
      <c r="AC8" s="2"/>
      <c r="AD8" s="2"/>
      <c r="AE8" s="2"/>
      <c r="AF8" s="2"/>
      <c r="AG8" s="318"/>
      <c r="AH8" s="318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5" customHeight="1" x14ac:dyDescent="0.25">
      <c r="A9" s="372" t="s">
        <v>75</v>
      </c>
      <c r="B9" s="342">
        <v>0.75</v>
      </c>
      <c r="C9" s="343">
        <v>0.75</v>
      </c>
      <c r="D9" s="343">
        <v>0.75</v>
      </c>
      <c r="E9" s="343">
        <v>0.75</v>
      </c>
      <c r="F9" s="343">
        <v>0.75</v>
      </c>
      <c r="G9" s="364">
        <v>0.75</v>
      </c>
      <c r="H9" s="364">
        <v>0.75</v>
      </c>
      <c r="I9" s="599"/>
      <c r="J9" s="328"/>
      <c r="K9" s="343">
        <v>0.75</v>
      </c>
      <c r="L9" s="343">
        <v>0.75</v>
      </c>
      <c r="M9" s="343">
        <v>0.75</v>
      </c>
      <c r="N9" s="343">
        <v>0.75</v>
      </c>
      <c r="O9" s="343">
        <v>0.75</v>
      </c>
      <c r="P9" s="364">
        <v>0.75</v>
      </c>
      <c r="Q9" s="343">
        <v>0.75</v>
      </c>
      <c r="R9" s="385"/>
      <c r="S9" s="324"/>
      <c r="T9" s="2"/>
      <c r="U9" s="4"/>
      <c r="V9" s="4"/>
      <c r="W9" s="4"/>
      <c r="X9" s="4"/>
      <c r="Y9" s="4"/>
      <c r="Z9" s="329"/>
      <c r="AA9" s="2"/>
      <c r="AB9" s="2"/>
      <c r="AC9" s="2"/>
      <c r="AD9" s="2"/>
      <c r="AE9" s="2"/>
      <c r="AF9" s="2"/>
      <c r="AG9" s="318"/>
      <c r="AH9" s="318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5" customHeight="1" x14ac:dyDescent="0.25">
      <c r="A10" s="373" t="s">
        <v>69</v>
      </c>
      <c r="B10" s="344">
        <f t="shared" ref="B10:H10" si="0">B11*B7*(B8*0.85)*B9</f>
        <v>0</v>
      </c>
      <c r="C10" s="344">
        <f t="shared" si="0"/>
        <v>0</v>
      </c>
      <c r="D10" s="344">
        <f t="shared" si="0"/>
        <v>41586.917627171701</v>
      </c>
      <c r="E10" s="344">
        <f t="shared" si="0"/>
        <v>0</v>
      </c>
      <c r="F10" s="344">
        <f t="shared" si="0"/>
        <v>0</v>
      </c>
      <c r="G10" s="344">
        <f t="shared" si="0"/>
        <v>0</v>
      </c>
      <c r="H10" s="344">
        <f t="shared" si="0"/>
        <v>0</v>
      </c>
      <c r="I10" s="466">
        <f>SUM(B10:H10)</f>
        <v>41586.917627171701</v>
      </c>
      <c r="J10" s="346"/>
      <c r="K10" s="344">
        <f t="shared" ref="K10:Q10" si="1">K11*(K8*0.85)*K9</f>
        <v>0</v>
      </c>
      <c r="L10" s="344">
        <f t="shared" si="1"/>
        <v>0</v>
      </c>
      <c r="M10" s="344">
        <f t="shared" si="1"/>
        <v>0</v>
      </c>
      <c r="N10" s="344">
        <f t="shared" si="1"/>
        <v>0</v>
      </c>
      <c r="O10" s="344">
        <f t="shared" si="1"/>
        <v>0</v>
      </c>
      <c r="P10" s="344">
        <f t="shared" si="1"/>
        <v>0</v>
      </c>
      <c r="Q10" s="344">
        <f t="shared" si="1"/>
        <v>0</v>
      </c>
      <c r="R10" s="345">
        <f>SUM(K10:Q10)</f>
        <v>0</v>
      </c>
      <c r="S10" s="324"/>
      <c r="T10" s="2"/>
      <c r="U10" s="4"/>
      <c r="V10" s="4"/>
      <c r="W10" s="4"/>
      <c r="X10" s="4"/>
      <c r="Y10" s="4"/>
      <c r="Z10" s="329"/>
      <c r="AA10" s="2"/>
      <c r="AB10" s="2"/>
      <c r="AC10" s="2"/>
      <c r="AD10" s="2"/>
      <c r="AE10" s="2"/>
      <c r="AF10" s="2"/>
      <c r="AG10" s="318"/>
      <c r="AH10" s="318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5" customHeight="1" x14ac:dyDescent="0.25">
      <c r="A11" s="427" t="s">
        <v>65</v>
      </c>
      <c r="B11" s="351">
        <f t="shared" ref="B11:H11" si="2">IF(B3&lt;B13,B13-B14,0)</f>
        <v>0</v>
      </c>
      <c r="C11" s="351">
        <f t="shared" si="2"/>
        <v>0</v>
      </c>
      <c r="D11" s="351">
        <f t="shared" si="2"/>
        <v>0.80000000000000071</v>
      </c>
      <c r="E11" s="351">
        <f t="shared" si="2"/>
        <v>0</v>
      </c>
      <c r="F11" s="351">
        <f t="shared" si="2"/>
        <v>0</v>
      </c>
      <c r="G11" s="351">
        <f t="shared" si="2"/>
        <v>160</v>
      </c>
      <c r="H11" s="351">
        <f t="shared" si="2"/>
        <v>0.5</v>
      </c>
      <c r="I11" s="368"/>
      <c r="J11" s="349"/>
      <c r="K11" s="351">
        <f t="shared" ref="K11:Q11" si="3">IF(K18&lt;K15,MIN(K15-K18,K16*0.1),0)</f>
        <v>0</v>
      </c>
      <c r="L11" s="351">
        <f t="shared" si="3"/>
        <v>0</v>
      </c>
      <c r="M11" s="351">
        <f t="shared" si="3"/>
        <v>0</v>
      </c>
      <c r="N11" s="351">
        <f t="shared" si="3"/>
        <v>0</v>
      </c>
      <c r="O11" s="351">
        <f t="shared" si="3"/>
        <v>0</v>
      </c>
      <c r="P11" s="351">
        <f t="shared" si="3"/>
        <v>111.4666666666667</v>
      </c>
      <c r="Q11" s="351">
        <f t="shared" si="3"/>
        <v>38.037333333333265</v>
      </c>
      <c r="R11" s="361"/>
      <c r="S11" s="324"/>
      <c r="T11" s="2"/>
      <c r="U11" s="4"/>
      <c r="V11" s="4"/>
      <c r="W11" s="4"/>
      <c r="X11" s="4"/>
      <c r="Y11" s="4"/>
      <c r="Z11" s="329"/>
      <c r="AA11" s="2"/>
      <c r="AB11" s="2"/>
      <c r="AC11" s="2"/>
      <c r="AD11" s="2"/>
      <c r="AE11" s="2"/>
      <c r="AF11" s="2"/>
      <c r="AG11" s="318"/>
      <c r="AH11" s="318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5" customHeight="1" x14ac:dyDescent="0.25">
      <c r="A12" s="427" t="s">
        <v>63</v>
      </c>
      <c r="B12" s="349"/>
      <c r="C12" s="349"/>
      <c r="D12" s="349"/>
      <c r="E12" s="349"/>
      <c r="F12" s="349"/>
      <c r="G12" s="349"/>
      <c r="H12" s="349"/>
      <c r="I12" s="368"/>
      <c r="J12" s="349"/>
      <c r="K12" s="351">
        <f t="shared" ref="K12:Q12" si="4">0.1*K16</f>
        <v>87.87777777777778</v>
      </c>
      <c r="L12" s="351">
        <f t="shared" si="4"/>
        <v>58.225777777777786</v>
      </c>
      <c r="M12" s="351">
        <f t="shared" si="4"/>
        <v>105.9666666666667</v>
      </c>
      <c r="N12" s="351">
        <f t="shared" si="4"/>
        <v>108.21066666666671</v>
      </c>
      <c r="O12" s="351">
        <f t="shared" si="4"/>
        <v>44.649026666666678</v>
      </c>
      <c r="P12" s="351">
        <f t="shared" si="4"/>
        <v>111.4666666666667</v>
      </c>
      <c r="Q12" s="351">
        <f t="shared" si="4"/>
        <v>39.306666666666665</v>
      </c>
      <c r="R12" s="361"/>
      <c r="S12" s="324"/>
      <c r="T12" s="2"/>
      <c r="U12" s="4"/>
      <c r="V12" s="4"/>
      <c r="W12" s="4"/>
      <c r="X12" s="4"/>
      <c r="Y12" s="4"/>
      <c r="Z12" s="329"/>
      <c r="AA12" s="2"/>
      <c r="AB12" s="2"/>
      <c r="AC12" s="2"/>
      <c r="AD12" s="2"/>
      <c r="AE12" s="2"/>
      <c r="AF12" s="2"/>
      <c r="AG12" s="318"/>
      <c r="AH12" s="318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5" customHeight="1" x14ac:dyDescent="0.25">
      <c r="A13" s="427" t="s">
        <v>62</v>
      </c>
      <c r="B13" s="351">
        <v>3.7</v>
      </c>
      <c r="C13" s="351">
        <v>8.4</v>
      </c>
      <c r="D13" s="351">
        <f>(14/100)*45</f>
        <v>6.3000000000000007</v>
      </c>
      <c r="E13" s="351">
        <f>(14/100)*45</f>
        <v>6.3000000000000007</v>
      </c>
      <c r="F13" s="351">
        <v>3.95</v>
      </c>
      <c r="G13" s="351">
        <v>535</v>
      </c>
      <c r="H13" s="351">
        <v>5.5</v>
      </c>
      <c r="I13" s="368"/>
      <c r="J13" s="349"/>
      <c r="K13" s="351">
        <v>3.7</v>
      </c>
      <c r="L13" s="351">
        <v>8.4</v>
      </c>
      <c r="M13" s="351">
        <f>(14/100)*45</f>
        <v>6.3000000000000007</v>
      </c>
      <c r="N13" s="351">
        <f>(14/100)*45</f>
        <v>6.3000000000000007</v>
      </c>
      <c r="O13" s="351">
        <v>3.95</v>
      </c>
      <c r="P13" s="351">
        <v>535</v>
      </c>
      <c r="Q13" s="351">
        <v>5.5</v>
      </c>
      <c r="R13" s="361"/>
      <c r="S13" s="324"/>
      <c r="T13" s="2"/>
      <c r="U13" s="4"/>
      <c r="V13" s="4"/>
      <c r="W13" s="4"/>
      <c r="X13" s="4"/>
      <c r="Y13" s="4"/>
      <c r="Z13" s="329"/>
      <c r="AA13" s="318"/>
      <c r="AB13" s="318"/>
      <c r="AC13" s="318"/>
      <c r="AD13" s="318"/>
      <c r="AE13" s="318"/>
      <c r="AF13" s="318"/>
      <c r="AG13" s="318"/>
      <c r="AH13" s="318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5" customHeight="1" x14ac:dyDescent="0.25">
      <c r="A14" s="427" t="s">
        <v>60</v>
      </c>
      <c r="B14" s="351">
        <f t="shared" ref="B14:H14" si="5">MAX(B3,B20)</f>
        <v>4</v>
      </c>
      <c r="C14" s="351">
        <f t="shared" si="5"/>
        <v>9.5</v>
      </c>
      <c r="D14" s="351">
        <f t="shared" si="5"/>
        <v>5.5</v>
      </c>
      <c r="E14" s="351">
        <f t="shared" si="5"/>
        <v>6.5</v>
      </c>
      <c r="F14" s="351">
        <f t="shared" si="5"/>
        <v>4.2</v>
      </c>
      <c r="G14" s="351">
        <f t="shared" si="5"/>
        <v>375</v>
      </c>
      <c r="H14" s="351">
        <f t="shared" si="5"/>
        <v>5</v>
      </c>
      <c r="I14" s="368"/>
      <c r="J14" s="349"/>
      <c r="K14" s="352"/>
      <c r="L14" s="349"/>
      <c r="M14" s="349"/>
      <c r="N14" s="349"/>
      <c r="O14" s="349"/>
      <c r="P14" s="349"/>
      <c r="Q14" s="349"/>
      <c r="R14" s="361"/>
      <c r="S14" s="324"/>
      <c r="T14" s="2"/>
      <c r="U14" s="2"/>
      <c r="V14" s="2"/>
      <c r="W14" s="2"/>
      <c r="X14" s="2"/>
      <c r="Y14" s="2"/>
      <c r="Z14" s="318"/>
      <c r="AA14" s="318"/>
      <c r="AB14" s="318"/>
      <c r="AC14" s="318"/>
      <c r="AD14" s="318"/>
      <c r="AE14" s="318"/>
      <c r="AF14" s="318"/>
      <c r="AG14" s="318"/>
      <c r="AH14" s="318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5" customHeight="1" x14ac:dyDescent="0.25">
      <c r="A15" s="427" t="s">
        <v>59</v>
      </c>
      <c r="B15" s="349"/>
      <c r="C15" s="349"/>
      <c r="D15" s="349"/>
      <c r="E15" s="349"/>
      <c r="F15" s="349"/>
      <c r="G15" s="349"/>
      <c r="H15" s="349"/>
      <c r="I15" s="368"/>
      <c r="J15" s="349"/>
      <c r="K15" s="429">
        <f t="shared" ref="K15:Q15" si="6">K16*0.86</f>
        <v>755.74888888888881</v>
      </c>
      <c r="L15" s="430">
        <f t="shared" si="6"/>
        <v>500.74168888888892</v>
      </c>
      <c r="M15" s="430">
        <f t="shared" si="6"/>
        <v>911.31333333333362</v>
      </c>
      <c r="N15" s="430">
        <f t="shared" si="6"/>
        <v>930.61173333333363</v>
      </c>
      <c r="O15" s="430">
        <f t="shared" si="6"/>
        <v>383.98162933333339</v>
      </c>
      <c r="P15" s="430">
        <f t="shared" si="6"/>
        <v>958.61333333333357</v>
      </c>
      <c r="Q15" s="430">
        <f t="shared" si="6"/>
        <v>338.03733333333327</v>
      </c>
      <c r="R15" s="370"/>
      <c r="S15" s="324"/>
      <c r="T15" s="2"/>
      <c r="U15" s="2"/>
      <c r="V15" s="2"/>
      <c r="W15" s="2"/>
      <c r="X15" s="2"/>
      <c r="Y15" s="2"/>
      <c r="Z15" s="318"/>
      <c r="AA15" s="318"/>
      <c r="AB15" s="318"/>
      <c r="AC15" s="318"/>
      <c r="AD15" s="318"/>
      <c r="AE15" s="318"/>
      <c r="AF15" s="318"/>
      <c r="AG15" s="318"/>
      <c r="AH15" s="318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5" customHeight="1" x14ac:dyDescent="0.25">
      <c r="A16" s="427" t="s">
        <v>58</v>
      </c>
      <c r="B16" s="349"/>
      <c r="C16" s="349"/>
      <c r="D16" s="349"/>
      <c r="E16" s="349"/>
      <c r="F16" s="349"/>
      <c r="G16" s="349"/>
      <c r="H16" s="349"/>
      <c r="I16" s="368"/>
      <c r="J16" s="349"/>
      <c r="K16" s="429">
        <f t="shared" ref="K16:Q16" si="7">K5*(MAX(K6,K13))</f>
        <v>878.77777777777771</v>
      </c>
      <c r="L16" s="430">
        <f t="shared" si="7"/>
        <v>582.25777777777785</v>
      </c>
      <c r="M16" s="430">
        <f t="shared" si="7"/>
        <v>1059.666666666667</v>
      </c>
      <c r="N16" s="430">
        <f t="shared" si="7"/>
        <v>1082.106666666667</v>
      </c>
      <c r="O16" s="430">
        <f t="shared" si="7"/>
        <v>446.49026666666674</v>
      </c>
      <c r="P16" s="430">
        <f t="shared" si="7"/>
        <v>1114.666666666667</v>
      </c>
      <c r="Q16" s="430">
        <f t="shared" si="7"/>
        <v>393.06666666666661</v>
      </c>
      <c r="R16" s="370"/>
      <c r="S16" s="324"/>
      <c r="T16" s="2"/>
      <c r="U16" s="2"/>
      <c r="V16" s="2"/>
      <c r="W16" s="2"/>
      <c r="X16" s="2"/>
      <c r="Y16" s="2"/>
      <c r="Z16" s="318"/>
      <c r="AA16" s="318"/>
      <c r="AB16" s="318"/>
      <c r="AC16" s="318"/>
      <c r="AD16" s="318"/>
      <c r="AE16" s="318"/>
      <c r="AF16" s="318"/>
      <c r="AG16" s="318"/>
      <c r="AH16" s="318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5" customHeight="1" x14ac:dyDescent="0.25">
      <c r="A17" s="427" t="s">
        <v>57</v>
      </c>
      <c r="B17" s="349"/>
      <c r="C17" s="349"/>
      <c r="D17" s="349"/>
      <c r="E17" s="349"/>
      <c r="F17" s="349"/>
      <c r="G17" s="349"/>
      <c r="H17" s="349"/>
      <c r="I17" s="368"/>
      <c r="J17" s="349"/>
      <c r="K17" s="354"/>
      <c r="L17" s="355"/>
      <c r="M17" s="355"/>
      <c r="N17" s="355"/>
      <c r="O17" s="355"/>
      <c r="P17" s="355"/>
      <c r="Q17" s="355"/>
      <c r="R17" s="370"/>
      <c r="S17" s="324"/>
      <c r="T17" s="2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5" customHeight="1" x14ac:dyDescent="0.25">
      <c r="A18" s="427" t="s">
        <v>56</v>
      </c>
      <c r="B18" s="349"/>
      <c r="C18" s="349"/>
      <c r="D18" s="349"/>
      <c r="E18" s="349"/>
      <c r="F18" s="349"/>
      <c r="G18" s="349"/>
      <c r="H18" s="349"/>
      <c r="I18" s="368"/>
      <c r="J18" s="349"/>
      <c r="K18" s="429">
        <f t="shared" ref="K18:Q18" si="8">K4*(MAX(K3,K20))</f>
        <v>760</v>
      </c>
      <c r="L18" s="430">
        <f t="shared" si="8"/>
        <v>522.5</v>
      </c>
      <c r="M18" s="430">
        <f t="shared" si="8"/>
        <v>935</v>
      </c>
      <c r="N18" s="430">
        <f t="shared" si="8"/>
        <v>1105</v>
      </c>
      <c r="O18" s="430">
        <f t="shared" si="8"/>
        <v>420</v>
      </c>
      <c r="P18" s="430">
        <f t="shared" si="8"/>
        <v>750</v>
      </c>
      <c r="Q18" s="430">
        <f t="shared" si="8"/>
        <v>300</v>
      </c>
      <c r="R18" s="370"/>
      <c r="S18" s="324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5" customHeight="1" x14ac:dyDescent="0.25">
      <c r="A19" s="428" t="s">
        <v>55</v>
      </c>
      <c r="B19" s="349"/>
      <c r="C19" s="349"/>
      <c r="D19" s="349"/>
      <c r="E19" s="349"/>
      <c r="F19" s="349"/>
      <c r="G19" s="349"/>
      <c r="H19" s="349"/>
      <c r="I19" s="368"/>
      <c r="J19" s="358"/>
      <c r="K19" s="355"/>
      <c r="L19" s="355"/>
      <c r="M19" s="355"/>
      <c r="N19" s="355"/>
      <c r="O19" s="355"/>
      <c r="P19" s="355"/>
      <c r="Q19" s="355"/>
      <c r="R19" s="370"/>
      <c r="S19" s="324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5" customHeight="1" thickBot="1" x14ac:dyDescent="0.3">
      <c r="A20" s="509" t="s">
        <v>52</v>
      </c>
      <c r="B20" s="510">
        <v>1.95</v>
      </c>
      <c r="C20" s="510">
        <v>5</v>
      </c>
      <c r="D20" s="510">
        <f>(6.5/100)*45</f>
        <v>2.9250000000000003</v>
      </c>
      <c r="E20" s="510">
        <f>(6.5/100)*45</f>
        <v>2.9250000000000003</v>
      </c>
      <c r="F20" s="510">
        <v>1.95</v>
      </c>
      <c r="G20" s="510">
        <v>355</v>
      </c>
      <c r="H20" s="510">
        <v>2.94</v>
      </c>
      <c r="I20" s="511"/>
      <c r="J20" s="512"/>
      <c r="K20" s="513">
        <v>1.95</v>
      </c>
      <c r="L20" s="510">
        <v>5</v>
      </c>
      <c r="M20" s="510">
        <f>(6.5/100)*45</f>
        <v>2.9250000000000003</v>
      </c>
      <c r="N20" s="510">
        <f>(6.5/100)*45</f>
        <v>2.9250000000000003</v>
      </c>
      <c r="O20" s="510">
        <v>1.95</v>
      </c>
      <c r="P20" s="510">
        <v>355</v>
      </c>
      <c r="Q20" s="510">
        <v>2.94</v>
      </c>
      <c r="R20" s="515"/>
      <c r="S20" s="382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5" customHeight="1" x14ac:dyDescent="0.25">
      <c r="A21" s="2"/>
      <c r="B21" s="37"/>
      <c r="C21" s="37"/>
      <c r="D21" s="37"/>
      <c r="E21" s="37"/>
      <c r="F21" s="37"/>
      <c r="G21" s="37"/>
      <c r="H21" s="37"/>
      <c r="I21" s="4"/>
      <c r="J21" s="37"/>
      <c r="K21" s="37"/>
      <c r="L21" s="37"/>
      <c r="M21" s="37"/>
      <c r="N21" s="37"/>
      <c r="O21" s="37"/>
      <c r="P21" s="37"/>
      <c r="Q21" s="37"/>
      <c r="R21" s="2"/>
      <c r="S21" s="2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5" customHeight="1" x14ac:dyDescent="0.25">
      <c r="A22" s="359"/>
      <c r="B22" s="398" t="s">
        <v>89</v>
      </c>
      <c r="C22" s="399"/>
      <c r="D22" s="399"/>
      <c r="E22" s="399"/>
      <c r="F22" s="399"/>
      <c r="G22" s="399"/>
      <c r="H22" s="399"/>
      <c r="I22" s="402"/>
      <c r="J22" s="336"/>
      <c r="K22" s="398" t="s">
        <v>54</v>
      </c>
      <c r="L22" s="399"/>
      <c r="M22" s="399"/>
      <c r="N22" s="399"/>
      <c r="O22" s="399"/>
      <c r="P22" s="399"/>
      <c r="Q22" s="400"/>
      <c r="R22" s="318"/>
      <c r="S22" s="329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5" customHeight="1" x14ac:dyDescent="0.25">
      <c r="A23" s="395" t="s">
        <v>47</v>
      </c>
      <c r="B23" s="396" t="s">
        <v>6</v>
      </c>
      <c r="C23" s="327" t="s">
        <v>9</v>
      </c>
      <c r="D23" s="327" t="s">
        <v>46</v>
      </c>
      <c r="E23" s="327" t="s">
        <v>97</v>
      </c>
      <c r="F23" s="327" t="s">
        <v>10</v>
      </c>
      <c r="G23" s="397" t="s">
        <v>98</v>
      </c>
      <c r="H23" s="357" t="s">
        <v>11</v>
      </c>
      <c r="I23" s="403"/>
      <c r="J23" s="336"/>
      <c r="K23" s="325" t="s">
        <v>6</v>
      </c>
      <c r="L23" s="326" t="s">
        <v>9</v>
      </c>
      <c r="M23" s="326" t="s">
        <v>46</v>
      </c>
      <c r="N23" s="326" t="s">
        <v>97</v>
      </c>
      <c r="O23" s="326" t="s">
        <v>10</v>
      </c>
      <c r="P23" s="387" t="s">
        <v>98</v>
      </c>
      <c r="Q23" s="401" t="s">
        <v>11</v>
      </c>
      <c r="R23" s="318"/>
      <c r="S23" s="329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5" customHeight="1" x14ac:dyDescent="0.25">
      <c r="A24" s="583">
        <v>2014</v>
      </c>
      <c r="B24" s="582"/>
      <c r="C24" s="584"/>
      <c r="D24" s="584"/>
      <c r="E24" s="584"/>
      <c r="F24" s="584"/>
      <c r="G24" s="585"/>
      <c r="H24" s="586"/>
      <c r="I24" s="583">
        <v>2015</v>
      </c>
      <c r="J24" s="392"/>
      <c r="K24" s="588">
        <v>186</v>
      </c>
      <c r="L24" s="588">
        <v>55.254948499776084</v>
      </c>
      <c r="M24" s="588">
        <v>164.44444444444446</v>
      </c>
      <c r="N24" s="588">
        <v>164.44444444444446</v>
      </c>
      <c r="O24" s="588">
        <v>100</v>
      </c>
      <c r="P24" s="589">
        <v>2</v>
      </c>
      <c r="Q24" s="590">
        <v>56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5" customHeight="1" x14ac:dyDescent="0.25">
      <c r="A25" s="583">
        <v>2013</v>
      </c>
      <c r="B25" s="587"/>
      <c r="C25" s="588"/>
      <c r="D25" s="588"/>
      <c r="E25" s="588"/>
      <c r="F25" s="588"/>
      <c r="G25" s="589"/>
      <c r="H25" s="590"/>
      <c r="I25" s="583">
        <v>2014</v>
      </c>
      <c r="J25" s="392"/>
      <c r="K25" s="588">
        <v>187</v>
      </c>
      <c r="L25" s="588">
        <v>52.5</v>
      </c>
      <c r="M25" s="588">
        <v>168</v>
      </c>
      <c r="N25" s="588">
        <v>168</v>
      </c>
      <c r="O25" s="588">
        <v>97</v>
      </c>
      <c r="P25" s="589">
        <v>2</v>
      </c>
      <c r="Q25" s="590">
        <v>63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5" customHeight="1" x14ac:dyDescent="0.25">
      <c r="A26" s="583">
        <v>2012</v>
      </c>
      <c r="B26" s="587">
        <v>168.14516129032259</v>
      </c>
      <c r="C26" s="588">
        <v>51.83946488294314</v>
      </c>
      <c r="D26" s="588">
        <v>166.39566395663957</v>
      </c>
      <c r="E26" s="588">
        <v>166.39566395663957</v>
      </c>
      <c r="F26" s="588">
        <v>60.909090909090907</v>
      </c>
      <c r="G26" s="589">
        <f>2582/2000</f>
        <v>1.2909999999999999</v>
      </c>
      <c r="H26" s="590">
        <v>44.5</v>
      </c>
      <c r="I26" s="583">
        <v>2013</v>
      </c>
      <c r="J26" s="392"/>
      <c r="K26" s="588">
        <v>186</v>
      </c>
      <c r="L26" s="588">
        <v>46.4</v>
      </c>
      <c r="M26" s="588">
        <v>168</v>
      </c>
      <c r="N26" s="588">
        <v>168</v>
      </c>
      <c r="O26" s="588">
        <v>102</v>
      </c>
      <c r="P26" s="589">
        <v>1.85</v>
      </c>
      <c r="Q26" s="590">
        <v>62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5" customHeight="1" x14ac:dyDescent="0.25">
      <c r="A27" s="583">
        <v>2011</v>
      </c>
      <c r="B27" s="587">
        <v>128.11059907834101</v>
      </c>
      <c r="C27" s="588">
        <v>44.316109422492403</v>
      </c>
      <c r="D27" s="588">
        <v>132.75720164609052</v>
      </c>
      <c r="E27" s="588">
        <v>132.75720164609052</v>
      </c>
      <c r="F27" s="588">
        <v>49.603174603174601</v>
      </c>
      <c r="G27" s="589">
        <f t="shared" ref="G27:G30" si="9">2582/2000</f>
        <v>1.2909999999999999</v>
      </c>
      <c r="H27" s="590">
        <v>48.645161290322584</v>
      </c>
      <c r="I27" s="583">
        <v>2012</v>
      </c>
      <c r="J27" s="392"/>
      <c r="K27" s="588">
        <v>178</v>
      </c>
      <c r="L27" s="588">
        <v>48.3</v>
      </c>
      <c r="M27" s="588">
        <v>166.22222222222223</v>
      </c>
      <c r="N27" s="588">
        <v>166.22222222222223</v>
      </c>
      <c r="O27" s="588">
        <v>84</v>
      </c>
      <c r="P27" s="589">
        <v>2.2000000000000002</v>
      </c>
      <c r="Q27" s="590">
        <v>55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5" customHeight="1" x14ac:dyDescent="0.25">
      <c r="A28" s="583">
        <v>2010</v>
      </c>
      <c r="B28" s="587">
        <v>162.53886010362694</v>
      </c>
      <c r="C28" s="588">
        <v>41.466666666666669</v>
      </c>
      <c r="D28" s="588">
        <v>146.9135802469136</v>
      </c>
      <c r="E28" s="588">
        <v>146.9135802469136</v>
      </c>
      <c r="F28" s="588">
        <v>45.172413793103445</v>
      </c>
      <c r="G28" s="589">
        <f t="shared" si="9"/>
        <v>1.2909999999999999</v>
      </c>
      <c r="H28" s="590">
        <v>39.405405405405403</v>
      </c>
      <c r="I28" s="591">
        <v>2011</v>
      </c>
      <c r="J28" s="604"/>
      <c r="K28" s="593">
        <v>141</v>
      </c>
      <c r="L28" s="593">
        <v>42.2</v>
      </c>
      <c r="M28" s="593">
        <v>150.44444444444446</v>
      </c>
      <c r="N28" s="593">
        <v>150.44444444444446</v>
      </c>
      <c r="O28" s="593">
        <v>72</v>
      </c>
      <c r="P28" s="594">
        <v>2</v>
      </c>
      <c r="Q28" s="595">
        <v>58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5" customHeight="1" x14ac:dyDescent="0.25">
      <c r="A29" s="583">
        <v>2009</v>
      </c>
      <c r="B29" s="587">
        <v>159.70149253731344</v>
      </c>
      <c r="C29" s="588">
        <v>44.91017964071856</v>
      </c>
      <c r="D29" s="588">
        <v>156.26787057938301</v>
      </c>
      <c r="E29" s="588">
        <v>156.26787057938301</v>
      </c>
      <c r="F29" s="588">
        <v>57.386363636363633</v>
      </c>
      <c r="G29" s="589">
        <f t="shared" si="9"/>
        <v>1.2909999999999999</v>
      </c>
      <c r="H29" s="590">
        <v>39.285714285714285</v>
      </c>
      <c r="I29" s="366"/>
      <c r="J29" s="336"/>
      <c r="K29" s="587"/>
      <c r="L29" s="588"/>
      <c r="M29" s="588"/>
      <c r="N29" s="588"/>
      <c r="O29" s="588"/>
      <c r="P29" s="589"/>
      <c r="Q29" s="590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5" customHeight="1" x14ac:dyDescent="0.25">
      <c r="A30" s="591">
        <v>2008</v>
      </c>
      <c r="B30" s="592">
        <v>157.14285714285714</v>
      </c>
      <c r="C30" s="593">
        <v>47.454545454545453</v>
      </c>
      <c r="D30" s="593">
        <v>152.69323671497582</v>
      </c>
      <c r="E30" s="593">
        <v>152.69323671497582</v>
      </c>
      <c r="F30" s="593">
        <v>83.777777777777771</v>
      </c>
      <c r="G30" s="594">
        <f t="shared" si="9"/>
        <v>1.2909999999999999</v>
      </c>
      <c r="H30" s="595">
        <v>52.336448598130843</v>
      </c>
      <c r="I30" s="366"/>
      <c r="J30" s="336"/>
      <c r="K30" s="592"/>
      <c r="L30" s="593"/>
      <c r="M30" s="593"/>
      <c r="N30" s="593"/>
      <c r="O30" s="593"/>
      <c r="P30" s="594"/>
      <c r="Q30" s="595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5" customHeight="1" x14ac:dyDescent="0.25">
      <c r="A31" s="442"/>
      <c r="B31" s="442"/>
      <c r="C31" s="441"/>
      <c r="D31" s="441"/>
      <c r="E31" s="441"/>
      <c r="F31" s="441"/>
      <c r="G31" s="418"/>
      <c r="H31" s="448"/>
      <c r="I31" s="366"/>
      <c r="J31" s="336"/>
      <c r="K31" s="442"/>
      <c r="L31" s="441"/>
      <c r="M31" s="441"/>
      <c r="N31" s="441"/>
      <c r="O31" s="441"/>
      <c r="P31" s="418"/>
      <c r="Q31" s="448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5" customHeight="1" x14ac:dyDescent="0.25">
      <c r="A32" s="463" t="s">
        <v>111</v>
      </c>
      <c r="B32" s="443"/>
      <c r="C32" s="417"/>
      <c r="D32" s="444"/>
      <c r="E32" s="444"/>
      <c r="F32" s="444"/>
      <c r="G32" s="418"/>
      <c r="H32" s="449"/>
      <c r="I32" s="366"/>
      <c r="J32" s="336"/>
      <c r="K32" s="416">
        <f>(SUM(K24:K28)-MIN(K24:K28)-MAX(K24:K28))/3</f>
        <v>183.33333333333334</v>
      </c>
      <c r="L32" s="417">
        <f t="shared" ref="L32:Q32" si="10">(SUM(L24:L28)-MIN(L24:L28)-MAX(L24:L28))/3</f>
        <v>49.06666666666667</v>
      </c>
      <c r="M32" s="417">
        <f t="shared" si="10"/>
        <v>166.22222222222226</v>
      </c>
      <c r="N32" s="417">
        <f t="shared" si="10"/>
        <v>166.22222222222226</v>
      </c>
      <c r="O32" s="417">
        <f t="shared" si="10"/>
        <v>93.666666666666671</v>
      </c>
      <c r="P32" s="418">
        <f t="shared" si="10"/>
        <v>2.0000000000000004</v>
      </c>
      <c r="Q32" s="449">
        <f t="shared" si="10"/>
        <v>58.666666666666664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5" customHeight="1" x14ac:dyDescent="0.25">
      <c r="A33" s="464" t="s">
        <v>101</v>
      </c>
      <c r="B33" s="445">
        <f t="shared" ref="B33:H33" si="11">AVERAGE(B26:B30)</f>
        <v>155.12779403049223</v>
      </c>
      <c r="C33" s="446">
        <f t="shared" si="11"/>
        <v>45.997393213473245</v>
      </c>
      <c r="D33" s="446">
        <f t="shared" si="11"/>
        <v>151.00551062880052</v>
      </c>
      <c r="E33" s="446">
        <f t="shared" si="11"/>
        <v>151.00551062880052</v>
      </c>
      <c r="F33" s="446">
        <f t="shared" si="11"/>
        <v>59.369764143902067</v>
      </c>
      <c r="G33" s="447">
        <f t="shared" si="11"/>
        <v>1.2909999999999999</v>
      </c>
      <c r="H33" s="452">
        <f t="shared" si="11"/>
        <v>44.834545915914624</v>
      </c>
      <c r="I33" s="403"/>
      <c r="J33" s="336"/>
      <c r="K33" s="450"/>
      <c r="L33" s="446"/>
      <c r="M33" s="451"/>
      <c r="N33" s="451"/>
      <c r="O33" s="451"/>
      <c r="P33" s="451"/>
      <c r="Q33" s="45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5" customHeight="1" x14ac:dyDescent="0.25">
      <c r="A34" s="318"/>
      <c r="B34" s="318"/>
      <c r="C34" s="318"/>
      <c r="D34" s="318"/>
      <c r="E34" s="318"/>
      <c r="F34" s="318"/>
      <c r="G34" s="318"/>
      <c r="H34" s="318"/>
      <c r="I34" s="366"/>
      <c r="J34" s="605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5" customHeight="1" x14ac:dyDescent="0.25">
      <c r="A35" s="318"/>
      <c r="B35" s="350" t="s">
        <v>68</v>
      </c>
      <c r="C35" s="318"/>
      <c r="D35" s="318"/>
      <c r="E35" s="318"/>
      <c r="F35" s="318"/>
      <c r="G35" s="318"/>
      <c r="H35" s="318"/>
      <c r="I35" s="366"/>
      <c r="J35" s="33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5" customHeight="1" x14ac:dyDescent="0.25">
      <c r="A36" s="318"/>
      <c r="B36" s="350" t="s">
        <v>66</v>
      </c>
      <c r="C36" s="318"/>
      <c r="D36" s="318"/>
      <c r="E36" s="318"/>
      <c r="F36" s="318"/>
      <c r="G36" s="318"/>
      <c r="H36" s="318"/>
      <c r="I36" s="366"/>
      <c r="J36" s="336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5" customHeight="1" x14ac:dyDescent="0.25">
      <c r="A37" s="318"/>
      <c r="B37" s="439">
        <f t="shared" ref="B37:H37" si="12">B33*0.9</f>
        <v>139.615014627443</v>
      </c>
      <c r="C37" s="439">
        <f t="shared" si="12"/>
        <v>41.397653892125923</v>
      </c>
      <c r="D37" s="439">
        <f t="shared" si="12"/>
        <v>135.90495956592048</v>
      </c>
      <c r="E37" s="439">
        <f t="shared" si="12"/>
        <v>135.90495956592048</v>
      </c>
      <c r="F37" s="439">
        <f t="shared" si="12"/>
        <v>53.432787729511858</v>
      </c>
      <c r="G37" s="440">
        <f t="shared" si="12"/>
        <v>1.1618999999999999</v>
      </c>
      <c r="H37" s="439">
        <f t="shared" si="12"/>
        <v>40.351091324323164</v>
      </c>
      <c r="I37" s="403"/>
      <c r="J37" s="336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</sheetData>
  <sheetProtection sheet="1" objects="1" scenarios="1" selectLockedCells="1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sqref="A1:O1"/>
    </sheetView>
  </sheetViews>
  <sheetFormatPr defaultRowHeight="13.8" x14ac:dyDescent="0.25"/>
  <cols>
    <col min="1" max="1" width="5.44140625" customWidth="1"/>
    <col min="2" max="15" width="7.44140625" customWidth="1"/>
  </cols>
  <sheetData>
    <row r="1" spans="1:15" ht="15.6" x14ac:dyDescent="0.3">
      <c r="A1" s="606" t="s">
        <v>110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</row>
    <row r="2" spans="1:15" x14ac:dyDescent="0.25">
      <c r="A2" s="490"/>
      <c r="B2" s="488" t="s">
        <v>6</v>
      </c>
      <c r="C2" s="473"/>
      <c r="D2" s="474" t="s">
        <v>9</v>
      </c>
      <c r="E2" s="474"/>
      <c r="F2" s="475" t="s">
        <v>46</v>
      </c>
      <c r="G2" s="475"/>
      <c r="H2" s="476" t="s">
        <v>97</v>
      </c>
      <c r="I2" s="476"/>
      <c r="J2" s="477" t="s">
        <v>10</v>
      </c>
      <c r="K2" s="477"/>
      <c r="L2" s="478" t="s">
        <v>98</v>
      </c>
      <c r="M2" s="478"/>
      <c r="N2" s="479" t="s">
        <v>11</v>
      </c>
      <c r="O2" s="487"/>
    </row>
    <row r="3" spans="1:15" x14ac:dyDescent="0.25">
      <c r="A3" s="491" t="s">
        <v>109</v>
      </c>
      <c r="B3" s="489" t="s">
        <v>0</v>
      </c>
      <c r="C3" s="480" t="s">
        <v>4</v>
      </c>
      <c r="D3" s="7" t="s">
        <v>0</v>
      </c>
      <c r="E3" s="7" t="s">
        <v>4</v>
      </c>
      <c r="F3" s="481" t="s">
        <v>0</v>
      </c>
      <c r="G3" s="481" t="s">
        <v>4</v>
      </c>
      <c r="H3" s="482" t="s">
        <v>0</v>
      </c>
      <c r="I3" s="482" t="s">
        <v>4</v>
      </c>
      <c r="J3" s="483" t="s">
        <v>0</v>
      </c>
      <c r="K3" s="483" t="s">
        <v>4</v>
      </c>
      <c r="L3" s="484" t="s">
        <v>0</v>
      </c>
      <c r="M3" s="484" t="s">
        <v>4</v>
      </c>
      <c r="N3" s="485" t="s">
        <v>0</v>
      </c>
      <c r="O3" s="486" t="s">
        <v>4</v>
      </c>
    </row>
    <row r="4" spans="1:15" x14ac:dyDescent="0.25">
      <c r="A4" s="494">
        <v>1</v>
      </c>
      <c r="B4" s="536">
        <v>220</v>
      </c>
      <c r="C4" s="537">
        <v>1000</v>
      </c>
      <c r="D4" s="538">
        <v>60</v>
      </c>
      <c r="E4" s="539">
        <v>1000</v>
      </c>
      <c r="F4" s="540">
        <v>180</v>
      </c>
      <c r="G4" s="541">
        <v>1000</v>
      </c>
      <c r="H4" s="542">
        <v>180</v>
      </c>
      <c r="I4" s="543">
        <v>1000</v>
      </c>
      <c r="J4" s="544">
        <v>100</v>
      </c>
      <c r="K4" s="545">
        <v>500</v>
      </c>
      <c r="L4" s="546">
        <v>2.25</v>
      </c>
      <c r="M4" s="547">
        <v>250</v>
      </c>
      <c r="N4" s="548">
        <v>70</v>
      </c>
      <c r="O4" s="549">
        <v>500</v>
      </c>
    </row>
    <row r="5" spans="1:15" x14ac:dyDescent="0.25">
      <c r="A5" s="492">
        <f>A4+1</f>
        <v>2</v>
      </c>
      <c r="B5" s="550"/>
      <c r="C5" s="551"/>
      <c r="D5" s="552"/>
      <c r="E5" s="553"/>
      <c r="F5" s="554"/>
      <c r="G5" s="555"/>
      <c r="H5" s="556"/>
      <c r="I5" s="557"/>
      <c r="J5" s="558"/>
      <c r="K5" s="559"/>
      <c r="L5" s="560"/>
      <c r="M5" s="561"/>
      <c r="N5" s="562"/>
      <c r="O5" s="563"/>
    </row>
    <row r="6" spans="1:15" x14ac:dyDescent="0.25">
      <c r="A6" s="492">
        <f t="shared" ref="A6:A33" si="0">A5+1</f>
        <v>3</v>
      </c>
      <c r="B6" s="550"/>
      <c r="C6" s="551"/>
      <c r="D6" s="552"/>
      <c r="E6" s="553"/>
      <c r="F6" s="554"/>
      <c r="G6" s="555"/>
      <c r="H6" s="556"/>
      <c r="I6" s="557"/>
      <c r="J6" s="558"/>
      <c r="K6" s="559"/>
      <c r="L6" s="560"/>
      <c r="M6" s="561"/>
      <c r="N6" s="562"/>
      <c r="O6" s="563"/>
    </row>
    <row r="7" spans="1:15" x14ac:dyDescent="0.25">
      <c r="A7" s="492">
        <f t="shared" si="0"/>
        <v>4</v>
      </c>
      <c r="B7" s="550"/>
      <c r="C7" s="551"/>
      <c r="D7" s="552"/>
      <c r="E7" s="553"/>
      <c r="F7" s="554"/>
      <c r="G7" s="555"/>
      <c r="H7" s="556"/>
      <c r="I7" s="557"/>
      <c r="J7" s="558"/>
      <c r="K7" s="559"/>
      <c r="L7" s="560"/>
      <c r="M7" s="561"/>
      <c r="N7" s="562"/>
      <c r="O7" s="563"/>
    </row>
    <row r="8" spans="1:15" x14ac:dyDescent="0.25">
      <c r="A8" s="492">
        <f t="shared" si="0"/>
        <v>5</v>
      </c>
      <c r="B8" s="550"/>
      <c r="C8" s="551"/>
      <c r="D8" s="552"/>
      <c r="E8" s="553"/>
      <c r="F8" s="554"/>
      <c r="G8" s="555"/>
      <c r="H8" s="556"/>
      <c r="I8" s="557"/>
      <c r="J8" s="558"/>
      <c r="K8" s="559"/>
      <c r="L8" s="560"/>
      <c r="M8" s="561"/>
      <c r="N8" s="562"/>
      <c r="O8" s="563"/>
    </row>
    <row r="9" spans="1:15" x14ac:dyDescent="0.25">
      <c r="A9" s="492">
        <f t="shared" si="0"/>
        <v>6</v>
      </c>
      <c r="B9" s="550"/>
      <c r="C9" s="551"/>
      <c r="D9" s="552"/>
      <c r="E9" s="553"/>
      <c r="F9" s="554"/>
      <c r="G9" s="555"/>
      <c r="H9" s="556"/>
      <c r="I9" s="557"/>
      <c r="J9" s="558"/>
      <c r="K9" s="559"/>
      <c r="L9" s="560"/>
      <c r="M9" s="561"/>
      <c r="N9" s="562"/>
      <c r="O9" s="563"/>
    </row>
    <row r="10" spans="1:15" x14ac:dyDescent="0.25">
      <c r="A10" s="492">
        <f t="shared" si="0"/>
        <v>7</v>
      </c>
      <c r="B10" s="550"/>
      <c r="C10" s="551"/>
      <c r="D10" s="552"/>
      <c r="E10" s="553"/>
      <c r="F10" s="554"/>
      <c r="G10" s="555"/>
      <c r="H10" s="556"/>
      <c r="I10" s="557"/>
      <c r="J10" s="558"/>
      <c r="K10" s="559"/>
      <c r="L10" s="560"/>
      <c r="M10" s="561"/>
      <c r="N10" s="562"/>
      <c r="O10" s="563"/>
    </row>
    <row r="11" spans="1:15" x14ac:dyDescent="0.25">
      <c r="A11" s="492">
        <f t="shared" si="0"/>
        <v>8</v>
      </c>
      <c r="B11" s="550"/>
      <c r="C11" s="551"/>
      <c r="D11" s="552"/>
      <c r="E11" s="553"/>
      <c r="F11" s="554"/>
      <c r="G11" s="555"/>
      <c r="H11" s="556"/>
      <c r="I11" s="557"/>
      <c r="J11" s="558"/>
      <c r="K11" s="559"/>
      <c r="L11" s="560"/>
      <c r="M11" s="561"/>
      <c r="N11" s="562"/>
      <c r="O11" s="563"/>
    </row>
    <row r="12" spans="1:15" x14ac:dyDescent="0.25">
      <c r="A12" s="492">
        <f t="shared" si="0"/>
        <v>9</v>
      </c>
      <c r="B12" s="550"/>
      <c r="C12" s="551"/>
      <c r="D12" s="552"/>
      <c r="E12" s="553"/>
      <c r="F12" s="554"/>
      <c r="G12" s="555"/>
      <c r="H12" s="556"/>
      <c r="I12" s="557"/>
      <c r="J12" s="558"/>
      <c r="K12" s="559"/>
      <c r="L12" s="560"/>
      <c r="M12" s="561"/>
      <c r="N12" s="562"/>
      <c r="O12" s="563"/>
    </row>
    <row r="13" spans="1:15" x14ac:dyDescent="0.25">
      <c r="A13" s="492">
        <f t="shared" si="0"/>
        <v>10</v>
      </c>
      <c r="B13" s="550"/>
      <c r="C13" s="551"/>
      <c r="D13" s="552"/>
      <c r="E13" s="553"/>
      <c r="F13" s="554"/>
      <c r="G13" s="555"/>
      <c r="H13" s="556"/>
      <c r="I13" s="557"/>
      <c r="J13" s="558"/>
      <c r="K13" s="559"/>
      <c r="L13" s="560"/>
      <c r="M13" s="561"/>
      <c r="N13" s="562"/>
      <c r="O13" s="563"/>
    </row>
    <row r="14" spans="1:15" x14ac:dyDescent="0.25">
      <c r="A14" s="492">
        <f t="shared" si="0"/>
        <v>11</v>
      </c>
      <c r="B14" s="550"/>
      <c r="C14" s="551"/>
      <c r="D14" s="552"/>
      <c r="E14" s="553"/>
      <c r="F14" s="554"/>
      <c r="G14" s="555"/>
      <c r="H14" s="556"/>
      <c r="I14" s="557"/>
      <c r="J14" s="558"/>
      <c r="K14" s="559"/>
      <c r="L14" s="560"/>
      <c r="M14" s="561"/>
      <c r="N14" s="562"/>
      <c r="O14" s="563"/>
    </row>
    <row r="15" spans="1:15" x14ac:dyDescent="0.25">
      <c r="A15" s="492">
        <f t="shared" si="0"/>
        <v>12</v>
      </c>
      <c r="B15" s="550"/>
      <c r="C15" s="551"/>
      <c r="D15" s="552"/>
      <c r="E15" s="553"/>
      <c r="F15" s="554"/>
      <c r="G15" s="555"/>
      <c r="H15" s="556"/>
      <c r="I15" s="557"/>
      <c r="J15" s="558"/>
      <c r="K15" s="559"/>
      <c r="L15" s="560"/>
      <c r="M15" s="561"/>
      <c r="N15" s="562"/>
      <c r="O15" s="563"/>
    </row>
    <row r="16" spans="1:15" x14ac:dyDescent="0.25">
      <c r="A16" s="492">
        <f t="shared" si="0"/>
        <v>13</v>
      </c>
      <c r="B16" s="550"/>
      <c r="C16" s="551"/>
      <c r="D16" s="552"/>
      <c r="E16" s="553"/>
      <c r="F16" s="554"/>
      <c r="G16" s="555"/>
      <c r="H16" s="556"/>
      <c r="I16" s="557"/>
      <c r="J16" s="558"/>
      <c r="K16" s="559"/>
      <c r="L16" s="560"/>
      <c r="M16" s="561"/>
      <c r="N16" s="562"/>
      <c r="O16" s="563"/>
    </row>
    <row r="17" spans="1:15" x14ac:dyDescent="0.25">
      <c r="A17" s="492">
        <f t="shared" si="0"/>
        <v>14</v>
      </c>
      <c r="B17" s="550"/>
      <c r="C17" s="551"/>
      <c r="D17" s="552"/>
      <c r="E17" s="553"/>
      <c r="F17" s="554"/>
      <c r="G17" s="555"/>
      <c r="H17" s="556"/>
      <c r="I17" s="557"/>
      <c r="J17" s="558"/>
      <c r="K17" s="559"/>
      <c r="L17" s="560"/>
      <c r="M17" s="561"/>
      <c r="N17" s="562"/>
      <c r="O17" s="563"/>
    </row>
    <row r="18" spans="1:15" x14ac:dyDescent="0.25">
      <c r="A18" s="492">
        <f t="shared" si="0"/>
        <v>15</v>
      </c>
      <c r="B18" s="550"/>
      <c r="C18" s="551"/>
      <c r="D18" s="552"/>
      <c r="E18" s="553"/>
      <c r="F18" s="554"/>
      <c r="G18" s="555"/>
      <c r="H18" s="556"/>
      <c r="I18" s="557"/>
      <c r="J18" s="558"/>
      <c r="K18" s="559"/>
      <c r="L18" s="560"/>
      <c r="M18" s="561"/>
      <c r="N18" s="562"/>
      <c r="O18" s="563"/>
    </row>
    <row r="19" spans="1:15" x14ac:dyDescent="0.25">
      <c r="A19" s="492">
        <f t="shared" si="0"/>
        <v>16</v>
      </c>
      <c r="B19" s="550"/>
      <c r="C19" s="551"/>
      <c r="D19" s="552"/>
      <c r="E19" s="553"/>
      <c r="F19" s="554"/>
      <c r="G19" s="555"/>
      <c r="H19" s="556"/>
      <c r="I19" s="557"/>
      <c r="J19" s="558"/>
      <c r="K19" s="559"/>
      <c r="L19" s="560"/>
      <c r="M19" s="561"/>
      <c r="N19" s="562"/>
      <c r="O19" s="563"/>
    </row>
    <row r="20" spans="1:15" x14ac:dyDescent="0.25">
      <c r="A20" s="492">
        <f t="shared" si="0"/>
        <v>17</v>
      </c>
      <c r="B20" s="550"/>
      <c r="C20" s="551"/>
      <c r="D20" s="552"/>
      <c r="E20" s="553"/>
      <c r="F20" s="554"/>
      <c r="G20" s="555"/>
      <c r="H20" s="556"/>
      <c r="I20" s="557"/>
      <c r="J20" s="558"/>
      <c r="K20" s="559"/>
      <c r="L20" s="560"/>
      <c r="M20" s="561"/>
      <c r="N20" s="562"/>
      <c r="O20" s="563"/>
    </row>
    <row r="21" spans="1:15" x14ac:dyDescent="0.25">
      <c r="A21" s="492">
        <f t="shared" si="0"/>
        <v>18</v>
      </c>
      <c r="B21" s="550"/>
      <c r="C21" s="551"/>
      <c r="D21" s="552"/>
      <c r="E21" s="553"/>
      <c r="F21" s="554"/>
      <c r="G21" s="555"/>
      <c r="H21" s="556"/>
      <c r="I21" s="557"/>
      <c r="J21" s="558"/>
      <c r="K21" s="559"/>
      <c r="L21" s="560"/>
      <c r="M21" s="561"/>
      <c r="N21" s="562"/>
      <c r="O21" s="563"/>
    </row>
    <row r="22" spans="1:15" x14ac:dyDescent="0.25">
      <c r="A22" s="492">
        <f t="shared" si="0"/>
        <v>19</v>
      </c>
      <c r="B22" s="550"/>
      <c r="C22" s="551"/>
      <c r="D22" s="552"/>
      <c r="E22" s="553"/>
      <c r="F22" s="554"/>
      <c r="G22" s="555"/>
      <c r="H22" s="556"/>
      <c r="I22" s="557"/>
      <c r="J22" s="558"/>
      <c r="K22" s="559"/>
      <c r="L22" s="560"/>
      <c r="M22" s="561"/>
      <c r="N22" s="562"/>
      <c r="O22" s="563"/>
    </row>
    <row r="23" spans="1:15" x14ac:dyDescent="0.25">
      <c r="A23" s="492">
        <f t="shared" si="0"/>
        <v>20</v>
      </c>
      <c r="B23" s="550"/>
      <c r="C23" s="551"/>
      <c r="D23" s="552"/>
      <c r="E23" s="553"/>
      <c r="F23" s="554"/>
      <c r="G23" s="555"/>
      <c r="H23" s="556"/>
      <c r="I23" s="557"/>
      <c r="J23" s="558"/>
      <c r="K23" s="559"/>
      <c r="L23" s="560"/>
      <c r="M23" s="561"/>
      <c r="N23" s="562"/>
      <c r="O23" s="563"/>
    </row>
    <row r="24" spans="1:15" x14ac:dyDescent="0.25">
      <c r="A24" s="492">
        <f t="shared" si="0"/>
        <v>21</v>
      </c>
      <c r="B24" s="550"/>
      <c r="C24" s="551"/>
      <c r="D24" s="552"/>
      <c r="E24" s="553"/>
      <c r="F24" s="554"/>
      <c r="G24" s="555"/>
      <c r="H24" s="556"/>
      <c r="I24" s="557"/>
      <c r="J24" s="558"/>
      <c r="K24" s="559"/>
      <c r="L24" s="560"/>
      <c r="M24" s="561"/>
      <c r="N24" s="562"/>
      <c r="O24" s="563"/>
    </row>
    <row r="25" spans="1:15" x14ac:dyDescent="0.25">
      <c r="A25" s="492">
        <f t="shared" si="0"/>
        <v>22</v>
      </c>
      <c r="B25" s="550"/>
      <c r="C25" s="551"/>
      <c r="D25" s="552"/>
      <c r="E25" s="553"/>
      <c r="F25" s="554"/>
      <c r="G25" s="555"/>
      <c r="H25" s="556"/>
      <c r="I25" s="557"/>
      <c r="J25" s="558"/>
      <c r="K25" s="559"/>
      <c r="L25" s="560"/>
      <c r="M25" s="561"/>
      <c r="N25" s="562"/>
      <c r="O25" s="563"/>
    </row>
    <row r="26" spans="1:15" x14ac:dyDescent="0.25">
      <c r="A26" s="492">
        <f t="shared" si="0"/>
        <v>23</v>
      </c>
      <c r="B26" s="550"/>
      <c r="C26" s="551"/>
      <c r="D26" s="552"/>
      <c r="E26" s="553"/>
      <c r="F26" s="554"/>
      <c r="G26" s="555"/>
      <c r="H26" s="556"/>
      <c r="I26" s="557"/>
      <c r="J26" s="558"/>
      <c r="K26" s="559"/>
      <c r="L26" s="560"/>
      <c r="M26" s="561"/>
      <c r="N26" s="562"/>
      <c r="O26" s="563"/>
    </row>
    <row r="27" spans="1:15" x14ac:dyDescent="0.25">
      <c r="A27" s="492">
        <f t="shared" si="0"/>
        <v>24</v>
      </c>
      <c r="B27" s="550"/>
      <c r="C27" s="551"/>
      <c r="D27" s="552"/>
      <c r="E27" s="553"/>
      <c r="F27" s="554"/>
      <c r="G27" s="555"/>
      <c r="H27" s="556"/>
      <c r="I27" s="557"/>
      <c r="J27" s="558"/>
      <c r="K27" s="559"/>
      <c r="L27" s="560"/>
      <c r="M27" s="561"/>
      <c r="N27" s="562"/>
      <c r="O27" s="563"/>
    </row>
    <row r="28" spans="1:15" x14ac:dyDescent="0.25">
      <c r="A28" s="492">
        <f t="shared" si="0"/>
        <v>25</v>
      </c>
      <c r="B28" s="550"/>
      <c r="C28" s="551"/>
      <c r="D28" s="552"/>
      <c r="E28" s="553"/>
      <c r="F28" s="554"/>
      <c r="G28" s="555"/>
      <c r="H28" s="556"/>
      <c r="I28" s="557"/>
      <c r="J28" s="558"/>
      <c r="K28" s="559"/>
      <c r="L28" s="560"/>
      <c r="M28" s="561"/>
      <c r="N28" s="562"/>
      <c r="O28" s="563"/>
    </row>
    <row r="29" spans="1:15" x14ac:dyDescent="0.25">
      <c r="A29" s="492">
        <f t="shared" si="0"/>
        <v>26</v>
      </c>
      <c r="B29" s="550"/>
      <c r="C29" s="551"/>
      <c r="D29" s="552"/>
      <c r="E29" s="553"/>
      <c r="F29" s="554"/>
      <c r="G29" s="555"/>
      <c r="H29" s="556"/>
      <c r="I29" s="557"/>
      <c r="J29" s="558"/>
      <c r="K29" s="559"/>
      <c r="L29" s="560"/>
      <c r="M29" s="561"/>
      <c r="N29" s="562"/>
      <c r="O29" s="563"/>
    </row>
    <row r="30" spans="1:15" x14ac:dyDescent="0.25">
      <c r="A30" s="492">
        <f t="shared" si="0"/>
        <v>27</v>
      </c>
      <c r="B30" s="550"/>
      <c r="C30" s="551"/>
      <c r="D30" s="552"/>
      <c r="E30" s="553"/>
      <c r="F30" s="554"/>
      <c r="G30" s="555"/>
      <c r="H30" s="556"/>
      <c r="I30" s="557"/>
      <c r="J30" s="558"/>
      <c r="K30" s="559"/>
      <c r="L30" s="560"/>
      <c r="M30" s="561"/>
      <c r="N30" s="562"/>
      <c r="O30" s="563"/>
    </row>
    <row r="31" spans="1:15" x14ac:dyDescent="0.25">
      <c r="A31" s="492">
        <f t="shared" si="0"/>
        <v>28</v>
      </c>
      <c r="B31" s="550"/>
      <c r="C31" s="551"/>
      <c r="D31" s="552"/>
      <c r="E31" s="553"/>
      <c r="F31" s="554"/>
      <c r="G31" s="555"/>
      <c r="H31" s="556"/>
      <c r="I31" s="557"/>
      <c r="J31" s="558"/>
      <c r="K31" s="559"/>
      <c r="L31" s="560"/>
      <c r="M31" s="561"/>
      <c r="N31" s="562"/>
      <c r="O31" s="563"/>
    </row>
    <row r="32" spans="1:15" x14ac:dyDescent="0.25">
      <c r="A32" s="492">
        <f t="shared" si="0"/>
        <v>29</v>
      </c>
      <c r="B32" s="550"/>
      <c r="C32" s="551"/>
      <c r="D32" s="552"/>
      <c r="E32" s="553"/>
      <c r="F32" s="554"/>
      <c r="G32" s="555"/>
      <c r="H32" s="556"/>
      <c r="I32" s="557"/>
      <c r="J32" s="558"/>
      <c r="K32" s="559"/>
      <c r="L32" s="560"/>
      <c r="M32" s="561"/>
      <c r="N32" s="562"/>
      <c r="O32" s="563"/>
    </row>
    <row r="33" spans="1:16" x14ac:dyDescent="0.25">
      <c r="A33" s="493">
        <f t="shared" si="0"/>
        <v>30</v>
      </c>
      <c r="B33" s="564"/>
      <c r="C33" s="565"/>
      <c r="D33" s="566"/>
      <c r="E33" s="567"/>
      <c r="F33" s="568"/>
      <c r="G33" s="569"/>
      <c r="H33" s="570"/>
      <c r="I33" s="571"/>
      <c r="J33" s="572"/>
      <c r="K33" s="573"/>
      <c r="L33" s="574"/>
      <c r="M33" s="575"/>
      <c r="N33" s="576"/>
      <c r="O33" s="577"/>
    </row>
    <row r="34" spans="1:16" x14ac:dyDescent="0.25">
      <c r="A34" s="459" t="s">
        <v>12</v>
      </c>
      <c r="B34" s="495">
        <f>IF(C34&gt;0,((B4*C4)+(B5*C5)+(B6*C6)+(B7*C7)+(B8*C8)+(B9*C9)+(B10*C10)+(B11*C11)+(B12*C12)+(B13*C13)+(B14*C14)+(B15*C15)+(B16*C16)+(B17*C17)+(B18*C18)+(B19*C19)+(B20*C20)+(B21*C21)+(B22*C22)+(B23*C23)+(B24*C24)+(B25*C25)+(B26*C26)+(B27*C27)+(B28*C28)+(B29*C29)+(B30*C30)+(B31*C31)+(B32*C32)+(B33*C33))/C34,0)</f>
        <v>220</v>
      </c>
      <c r="C34" s="496">
        <f>SUM(C4:C33)</f>
        <v>1000</v>
      </c>
      <c r="D34" s="497">
        <f t="shared" ref="D34" si="1">IF(E34&gt;0,((D4*E4)+(D5*E5)+(D6*E6)+(D7*E7)+(D8*E8)+(D9*E9)+(D10*E10)+(D11*E11)+(D12*E12)+(D13*E13)+(D14*E14)+(D15*E15)+(D16*E16)+(D17*E17)+(D18*E18)+(D19*E19)+(D20*E20)+(D21*E21)+(D22*E22)+(D23*E23)+(D24*E24)+(D25*E25)+(D26*E26)+(D27*E27)+(D28*E28)+(D29*E29)+(D30*E30)+(D31*E31)+(D32*E32)+(D33*E33))/E34,0)</f>
        <v>60</v>
      </c>
      <c r="E34" s="498">
        <f t="shared" ref="E34" si="2">SUM(E4:E33)</f>
        <v>1000</v>
      </c>
      <c r="F34" s="499">
        <f t="shared" ref="F34" si="3">IF(G34&gt;0,((F4*G4)+(F5*G5)+(F6*G6)+(F7*G7)+(F8*G8)+(F9*G9)+(F10*G10)+(F11*G11)+(F12*G12)+(F13*G13)+(F14*G14)+(F15*G15)+(F16*G16)+(F17*G17)+(F18*G18)+(F19*G19)+(F20*G20)+(F21*G21)+(F22*G22)+(F23*G23)+(F24*G24)+(F25*G25)+(F26*G26)+(F27*G27)+(F28*G28)+(F29*G29)+(F30*G30)+(F31*G31)+(F32*G32)+(F33*G33))/G34,0)</f>
        <v>180</v>
      </c>
      <c r="G34" s="500">
        <f t="shared" ref="G34" si="4">SUM(G4:G33)</f>
        <v>1000</v>
      </c>
      <c r="H34" s="501">
        <f t="shared" ref="H34" si="5">IF(I34&gt;0,((H4*I4)+(H5*I5)+(H6*I6)+(H7*I7)+(H8*I8)+(H9*I9)+(H10*I10)+(H11*I11)+(H12*I12)+(H13*I13)+(H14*I14)+(H15*I15)+(H16*I16)+(H17*I17)+(H18*I18)+(H19*I19)+(H20*I20)+(H21*I21)+(H22*I22)+(H23*I23)+(H24*I24)+(H25*I25)+(H26*I26)+(H27*I27)+(H28*I28)+(H29*I29)+(H30*I30)+(H31*I31)+(H32*I32)+(H33*I33))/I34,0)</f>
        <v>180</v>
      </c>
      <c r="I34" s="502">
        <f t="shared" ref="I34" si="6">SUM(I4:I33)</f>
        <v>1000</v>
      </c>
      <c r="J34" s="503">
        <f t="shared" ref="J34" si="7">IF(K34&gt;0,((J4*K4)+(J5*K5)+(J6*K6)+(J7*K7)+(J8*K8)+(J9*K9)+(J10*K10)+(J11*K11)+(J12*K12)+(J13*K13)+(J14*K14)+(J15*K15)+(J16*K16)+(J17*K17)+(J18*K18)+(J19*K19)+(J20*K20)+(J21*K21)+(J22*K22)+(J23*K23)+(J24*K24)+(J25*K25)+(J26*K26)+(J27*K27)+(J28*K28)+(J29*K29)+(J30*K30)+(J31*K31)+(J32*K32)+(J33*K33))/K34,0)</f>
        <v>100</v>
      </c>
      <c r="K34" s="504">
        <f t="shared" ref="K34" si="8">SUM(K4:K33)</f>
        <v>500</v>
      </c>
      <c r="L34" s="505">
        <f t="shared" ref="L34" si="9">IF(M34&gt;0,((L4*M4)+(L5*M5)+(L6*M6)+(L7*M7)+(L8*M8)+(L9*M9)+(L10*M10)+(L11*M11)+(L12*M12)+(L13*M13)+(L14*M14)+(L15*M15)+(L16*M16)+(L17*M17)+(L18*M18)+(L19*M19)+(L20*M20)+(L21*M21)+(L22*M22)+(L23*M23)+(L24*M24)+(L25*M25)+(L26*M26)+(L27*M27)+(L28*M28)+(L29*M29)+(L30*M30)+(L31*M31)+(L32*M32)+(L33*M33))/M34,0)</f>
        <v>2.25</v>
      </c>
      <c r="M34" s="506">
        <f t="shared" ref="M34" si="10">SUM(M4:M33)</f>
        <v>250</v>
      </c>
      <c r="N34" s="507">
        <f t="shared" ref="N34" si="11">IF(O34&gt;0,((N4*O4)+(N5*O5)+(N6*O6)+(N7*O7)+(N8*O8)+(N9*O9)+(N10*O10)+(N11*O11)+(N12*O12)+(N13*O13)+(N14*O14)+(N15*O15)+(N16*O16)+(N17*O17)+(N18*O18)+(N19*O19)+(N20*O20)+(N21*O21)+(N22*O22)+(N23*O23)+(N24*O24)+(N25*O25)+(N26*O26)+(N27*O27)+(N28*O28)+(N29*O29)+(N30*O30)+(N31*O31)+(N32*O32)+(N33*O33))/O34,0)</f>
        <v>70</v>
      </c>
      <c r="O34" s="508">
        <f t="shared" ref="O34" si="12">SUM(O4:O33)</f>
        <v>500</v>
      </c>
      <c r="P34" s="57"/>
    </row>
    <row r="35" spans="1:16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</row>
    <row r="36" spans="1:16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</row>
    <row r="37" spans="1:16" x14ac:dyDescent="0.2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</row>
  </sheetData>
  <sheetProtection sheet="1" objects="1" scenarios="1" selectLockedCells="1"/>
  <mergeCells count="1">
    <mergeCell ref="A1:O1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workbookViewId="0">
      <selection activeCell="B6" sqref="B6"/>
    </sheetView>
  </sheetViews>
  <sheetFormatPr defaultRowHeight="13.8" x14ac:dyDescent="0.25"/>
  <cols>
    <col min="1" max="1" width="37" bestFit="1" customWidth="1"/>
  </cols>
  <sheetData>
    <row r="1" spans="1:28" x14ac:dyDescent="0.25">
      <c r="A1" s="224"/>
      <c r="B1" s="4"/>
      <c r="C1" s="4"/>
      <c r="D1" s="4"/>
      <c r="E1" s="4"/>
      <c r="F1" s="4"/>
      <c r="G1" s="4"/>
      <c r="H1" s="4"/>
      <c r="I1" s="4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25">
      <c r="A2" s="461" t="s">
        <v>108</v>
      </c>
      <c r="B2" s="4"/>
      <c r="C2" s="4"/>
      <c r="D2" s="4"/>
      <c r="E2" s="4"/>
      <c r="F2" s="4"/>
      <c r="G2" s="4"/>
      <c r="H2" s="4"/>
      <c r="I2" s="4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5">
      <c r="A3" s="462">
        <f>J10+J21</f>
        <v>0</v>
      </c>
      <c r="B3" s="4"/>
      <c r="C3" s="4"/>
      <c r="D3" s="4"/>
      <c r="E3" s="4"/>
      <c r="F3" s="4"/>
      <c r="G3" s="4"/>
      <c r="H3" s="4"/>
      <c r="I3" s="4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4.4" thickBot="1" x14ac:dyDescent="0.3">
      <c r="A4" s="404"/>
      <c r="B4" s="453" t="s">
        <v>107</v>
      </c>
      <c r="C4" s="453"/>
      <c r="D4" s="453"/>
      <c r="E4" s="453"/>
      <c r="F4" s="453"/>
      <c r="G4" s="453"/>
      <c r="H4" s="453"/>
      <c r="I4" s="460"/>
      <c r="J4" s="453"/>
      <c r="K4" s="2"/>
      <c r="L4" s="2"/>
      <c r="M4" s="2"/>
      <c r="N4" s="2"/>
      <c r="O4" s="2"/>
      <c r="P4" s="4"/>
      <c r="Q4" s="4"/>
      <c r="R4" s="4"/>
      <c r="S4" s="4"/>
      <c r="T4" s="4"/>
      <c r="U4" s="2"/>
      <c r="V4" s="2"/>
      <c r="W4" s="2"/>
      <c r="X4" s="2"/>
      <c r="Y4" s="2"/>
      <c r="Z4" s="2"/>
      <c r="AA4" s="2"/>
      <c r="AB4" s="2"/>
    </row>
    <row r="5" spans="1:28" ht="14.4" x14ac:dyDescent="0.3">
      <c r="A5" s="454" t="s">
        <v>84</v>
      </c>
      <c r="B5" s="455" t="s">
        <v>6</v>
      </c>
      <c r="C5" s="455" t="s">
        <v>9</v>
      </c>
      <c r="D5" s="455" t="s">
        <v>46</v>
      </c>
      <c r="E5" s="455" t="s">
        <v>97</v>
      </c>
      <c r="F5" s="455" t="s">
        <v>10</v>
      </c>
      <c r="G5" s="456" t="s">
        <v>98</v>
      </c>
      <c r="H5" s="456" t="s">
        <v>7</v>
      </c>
      <c r="I5" s="457" t="s">
        <v>11</v>
      </c>
      <c r="J5" s="458" t="s">
        <v>12</v>
      </c>
      <c r="K5" s="2"/>
      <c r="L5" s="2"/>
      <c r="M5" s="2"/>
      <c r="N5" s="2"/>
      <c r="O5" s="4"/>
      <c r="P5" s="459"/>
      <c r="Q5" s="459"/>
      <c r="R5" s="459"/>
      <c r="S5" s="4"/>
      <c r="T5" s="4"/>
      <c r="U5" s="2"/>
      <c r="V5" s="2"/>
      <c r="W5" s="2"/>
      <c r="X5" s="2"/>
      <c r="Y5" s="2"/>
      <c r="Z5" s="2"/>
      <c r="AA5" s="2"/>
      <c r="AB5" s="2"/>
    </row>
    <row r="6" spans="1:28" x14ac:dyDescent="0.25">
      <c r="A6" s="139" t="s">
        <v>14</v>
      </c>
      <c r="B6" s="532">
        <v>4</v>
      </c>
      <c r="C6" s="532">
        <v>9.5</v>
      </c>
      <c r="D6" s="532">
        <v>5.5</v>
      </c>
      <c r="E6" s="532">
        <v>6.5</v>
      </c>
      <c r="F6" s="532">
        <v>4.2</v>
      </c>
      <c r="G6" s="532">
        <v>375</v>
      </c>
      <c r="H6" s="532">
        <v>0.65</v>
      </c>
      <c r="I6" s="532">
        <v>5</v>
      </c>
      <c r="J6" s="374"/>
      <c r="K6" s="2"/>
      <c r="L6" s="2"/>
      <c r="M6" s="2"/>
      <c r="N6" s="2"/>
      <c r="O6" s="4"/>
      <c r="P6" s="459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</row>
    <row r="7" spans="1:28" x14ac:dyDescent="0.25">
      <c r="A7" s="139" t="s">
        <v>89</v>
      </c>
      <c r="B7" s="533">
        <v>210</v>
      </c>
      <c r="C7" s="68">
        <v>55</v>
      </c>
      <c r="D7" s="68">
        <v>180</v>
      </c>
      <c r="E7" s="68">
        <v>180</v>
      </c>
      <c r="F7" s="68">
        <v>115</v>
      </c>
      <c r="G7" s="534">
        <v>2.25</v>
      </c>
      <c r="H7" s="535">
        <v>1200</v>
      </c>
      <c r="I7" s="68">
        <v>70</v>
      </c>
      <c r="J7" s="375"/>
      <c r="K7" s="2"/>
      <c r="L7" s="2"/>
      <c r="M7" s="2"/>
      <c r="N7" s="2"/>
      <c r="O7" s="4"/>
      <c r="P7" s="459"/>
      <c r="Q7" s="4"/>
      <c r="R7" s="4"/>
      <c r="S7" s="4"/>
      <c r="T7" s="4"/>
      <c r="U7" s="2"/>
      <c r="V7" s="2"/>
      <c r="W7" s="2"/>
      <c r="X7" s="2"/>
      <c r="Y7" s="2"/>
      <c r="Z7" s="2"/>
      <c r="AA7" s="2"/>
      <c r="AB7" s="2"/>
    </row>
    <row r="8" spans="1:28" x14ac:dyDescent="0.25">
      <c r="A8" s="139" t="s">
        <v>75</v>
      </c>
      <c r="B8" s="150">
        <v>1</v>
      </c>
      <c r="C8" s="149">
        <v>1</v>
      </c>
      <c r="D8" s="149">
        <v>1</v>
      </c>
      <c r="E8" s="149">
        <v>1</v>
      </c>
      <c r="F8" s="149">
        <v>1</v>
      </c>
      <c r="G8" s="149">
        <v>1</v>
      </c>
      <c r="H8" s="149">
        <v>1</v>
      </c>
      <c r="I8" s="149">
        <v>1</v>
      </c>
      <c r="J8" s="376"/>
      <c r="K8" s="2"/>
      <c r="L8" s="2"/>
      <c r="M8" s="2"/>
      <c r="N8" s="2"/>
      <c r="O8" s="4"/>
      <c r="P8" s="4"/>
      <c r="Q8" s="4"/>
      <c r="R8" s="4"/>
      <c r="S8" s="4"/>
      <c r="T8" s="4"/>
      <c r="U8" s="2"/>
      <c r="V8" s="2"/>
      <c r="W8" s="2"/>
      <c r="X8" s="2"/>
      <c r="Y8" s="2"/>
      <c r="Z8" s="2"/>
      <c r="AA8" s="2"/>
      <c r="AB8" s="2"/>
    </row>
    <row r="9" spans="1:28" x14ac:dyDescent="0.25">
      <c r="A9" s="139" t="s">
        <v>105</v>
      </c>
      <c r="B9" s="388">
        <v>0</v>
      </c>
      <c r="C9" s="389">
        <v>200</v>
      </c>
      <c r="D9" s="389">
        <v>200</v>
      </c>
      <c r="E9" s="389">
        <v>0</v>
      </c>
      <c r="F9" s="389">
        <v>0</v>
      </c>
      <c r="G9" s="389">
        <v>0</v>
      </c>
      <c r="H9" s="389">
        <v>0</v>
      </c>
      <c r="I9" s="389">
        <v>0</v>
      </c>
      <c r="J9" s="377"/>
      <c r="K9" s="2"/>
      <c r="L9" s="2"/>
      <c r="M9" s="2"/>
      <c r="N9" s="2"/>
      <c r="O9" s="4"/>
      <c r="P9" s="459"/>
      <c r="Q9" s="4"/>
      <c r="R9" s="4"/>
      <c r="S9" s="4"/>
      <c r="T9" s="4"/>
      <c r="U9" s="2"/>
      <c r="V9" s="2"/>
      <c r="W9" s="2"/>
      <c r="X9" s="2"/>
      <c r="Y9" s="2"/>
      <c r="Z9" s="2"/>
      <c r="AA9" s="2"/>
      <c r="AB9" s="2"/>
    </row>
    <row r="10" spans="1:28" x14ac:dyDescent="0.25">
      <c r="A10" s="124" t="s">
        <v>70</v>
      </c>
      <c r="B10" s="127">
        <f t="shared" ref="B10:I10" si="0">B11*B7*B9*B8</f>
        <v>0</v>
      </c>
      <c r="C10" s="127">
        <f t="shared" si="0"/>
        <v>0</v>
      </c>
      <c r="D10" s="127">
        <f t="shared" si="0"/>
        <v>0</v>
      </c>
      <c r="E10" s="127">
        <f t="shared" si="0"/>
        <v>0</v>
      </c>
      <c r="F10" s="127">
        <f t="shared" si="0"/>
        <v>0</v>
      </c>
      <c r="G10" s="127">
        <f t="shared" si="0"/>
        <v>0</v>
      </c>
      <c r="H10" s="127">
        <f t="shared" si="0"/>
        <v>0</v>
      </c>
      <c r="I10" s="127">
        <f t="shared" si="0"/>
        <v>0</v>
      </c>
      <c r="J10" s="347">
        <f>SUM(B10:I10)</f>
        <v>0</v>
      </c>
      <c r="K10" s="2"/>
      <c r="L10" s="2"/>
      <c r="M10" s="2"/>
      <c r="N10" s="2"/>
      <c r="O10" s="2"/>
      <c r="P10" s="4"/>
      <c r="Q10" s="4"/>
      <c r="R10" s="4"/>
      <c r="S10" s="4"/>
      <c r="T10" s="4"/>
      <c r="U10" s="2"/>
      <c r="V10" s="2"/>
      <c r="W10" s="2"/>
      <c r="X10" s="2"/>
      <c r="Y10" s="2"/>
      <c r="Z10" s="2"/>
      <c r="AA10" s="2"/>
      <c r="AB10" s="2"/>
    </row>
    <row r="11" spans="1:28" x14ac:dyDescent="0.25">
      <c r="A11" s="425" t="s">
        <v>53</v>
      </c>
      <c r="B11" s="92">
        <f>IF(B6&lt;B12,B12-B6,0)</f>
        <v>0</v>
      </c>
      <c r="C11" s="92">
        <f>IF(C6&lt;C12,C12-C6,0)</f>
        <v>0</v>
      </c>
      <c r="D11" s="92">
        <f>IF((D6-D13)&lt;D12,D12-(D6-D13),0)</f>
        <v>0</v>
      </c>
      <c r="E11" s="92">
        <f>IF((E6-E13)&lt;E12,E12-(E6-E13),0)</f>
        <v>0</v>
      </c>
      <c r="F11" s="92">
        <f>IF(F6&lt;F12,F12-F6,0)</f>
        <v>0</v>
      </c>
      <c r="G11" s="92">
        <f>IF(G6&lt;G12,G12-G6,0)</f>
        <v>0</v>
      </c>
      <c r="H11" s="92">
        <f>IF((H6-H13)&lt;H12,H12-(H6-H13),0)</f>
        <v>1.0000000000000009E-2</v>
      </c>
      <c r="I11" s="92">
        <f>IF(I6&lt;I12,I12-I6,0)</f>
        <v>0</v>
      </c>
      <c r="J11" s="309"/>
      <c r="K11" s="2"/>
      <c r="L11" s="2"/>
      <c r="M11" s="2"/>
      <c r="N11" s="2"/>
      <c r="O11" s="2"/>
      <c r="P11" s="4"/>
      <c r="Q11" s="4"/>
      <c r="R11" s="4"/>
      <c r="S11" s="4"/>
      <c r="T11" s="4"/>
      <c r="U11" s="2"/>
      <c r="V11" s="2"/>
      <c r="W11" s="2"/>
      <c r="X11" s="2"/>
      <c r="Y11" s="2"/>
      <c r="Z11" s="2"/>
      <c r="AA11" s="2"/>
      <c r="AB11" s="2"/>
    </row>
    <row r="12" spans="1:28" x14ac:dyDescent="0.25">
      <c r="A12" s="425" t="s">
        <v>52</v>
      </c>
      <c r="B12" s="92">
        <v>1.95</v>
      </c>
      <c r="C12" s="92">
        <v>5</v>
      </c>
      <c r="D12" s="92">
        <f>(6.5/100)*45</f>
        <v>2.9250000000000003</v>
      </c>
      <c r="E12" s="92">
        <f>(6.5/100)*45</f>
        <v>2.9250000000000003</v>
      </c>
      <c r="F12" s="92">
        <v>1.95</v>
      </c>
      <c r="G12" s="92">
        <v>355</v>
      </c>
      <c r="H12" s="92">
        <v>0.52</v>
      </c>
      <c r="I12" s="92">
        <v>2.94</v>
      </c>
      <c r="J12" s="309"/>
      <c r="K12" s="2"/>
      <c r="L12" s="2"/>
      <c r="M12" s="2"/>
      <c r="N12" s="2"/>
      <c r="O12" s="2"/>
      <c r="P12" s="4"/>
      <c r="Q12" s="4"/>
      <c r="R12" s="4"/>
      <c r="S12" s="4"/>
      <c r="T12" s="4"/>
      <c r="U12" s="2"/>
      <c r="V12" s="2"/>
      <c r="W12" s="2"/>
      <c r="X12" s="2"/>
      <c r="Y12" s="2"/>
      <c r="Z12" s="2"/>
      <c r="AA12" s="2"/>
      <c r="AB12" s="2"/>
    </row>
    <row r="13" spans="1:28" ht="14.4" thickBot="1" x14ac:dyDescent="0.3">
      <c r="A13" s="426" t="s">
        <v>51</v>
      </c>
      <c r="B13" s="378" t="s">
        <v>40</v>
      </c>
      <c r="C13" s="379" t="s">
        <v>40</v>
      </c>
      <c r="D13" s="380">
        <v>0</v>
      </c>
      <c r="E13" s="380">
        <v>1</v>
      </c>
      <c r="F13" s="379" t="s">
        <v>40</v>
      </c>
      <c r="G13" s="379" t="s">
        <v>40</v>
      </c>
      <c r="H13" s="380">
        <v>0.14000000000000001</v>
      </c>
      <c r="I13" s="379" t="s">
        <v>40</v>
      </c>
      <c r="J13" s="381"/>
      <c r="K13" s="2"/>
      <c r="L13" s="2"/>
      <c r="M13" s="2"/>
      <c r="N13" s="2"/>
      <c r="O13" s="2"/>
      <c r="P13" s="4"/>
      <c r="Q13" s="4"/>
      <c r="R13" s="4"/>
      <c r="S13" s="4"/>
      <c r="T13" s="4"/>
      <c r="U13" s="2"/>
      <c r="V13" s="2"/>
      <c r="W13" s="2"/>
      <c r="X13" s="2"/>
      <c r="Y13" s="2"/>
      <c r="Z13" s="2"/>
      <c r="AA13" s="2"/>
      <c r="AB13" s="2"/>
    </row>
    <row r="14" spans="1:28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4"/>
      <c r="Q14" s="4"/>
      <c r="R14" s="4"/>
      <c r="S14" s="4"/>
      <c r="T14" s="4"/>
      <c r="U14" s="2"/>
      <c r="V14" s="2"/>
      <c r="W14" s="2"/>
      <c r="X14" s="2"/>
      <c r="Y14" s="2"/>
      <c r="Z14" s="2"/>
      <c r="AA14" s="2"/>
      <c r="AB14" s="2"/>
    </row>
    <row r="15" spans="1:28" ht="14.4" thickBot="1" x14ac:dyDescent="0.3">
      <c r="A15" s="2"/>
      <c r="B15" s="453" t="s">
        <v>106</v>
      </c>
      <c r="C15" s="453"/>
      <c r="D15" s="453"/>
      <c r="E15" s="453"/>
      <c r="F15" s="453"/>
      <c r="G15" s="453"/>
      <c r="H15" s="453"/>
      <c r="I15" s="453"/>
      <c r="J15" s="45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4.4" x14ac:dyDescent="0.3">
      <c r="A16" s="454" t="s">
        <v>84</v>
      </c>
      <c r="B16" s="455" t="s">
        <v>6</v>
      </c>
      <c r="C16" s="455" t="s">
        <v>9</v>
      </c>
      <c r="D16" s="455" t="s">
        <v>46</v>
      </c>
      <c r="E16" s="455" t="s">
        <v>97</v>
      </c>
      <c r="F16" s="455" t="s">
        <v>10</v>
      </c>
      <c r="G16" s="456" t="s">
        <v>98</v>
      </c>
      <c r="H16" s="456" t="s">
        <v>7</v>
      </c>
      <c r="I16" s="457" t="s">
        <v>11</v>
      </c>
      <c r="J16" s="458" t="s">
        <v>12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25">
      <c r="A17" s="139" t="s">
        <v>14</v>
      </c>
      <c r="B17" s="532">
        <v>4</v>
      </c>
      <c r="C17" s="532">
        <v>9.5</v>
      </c>
      <c r="D17" s="532">
        <v>5.5</v>
      </c>
      <c r="E17" s="532">
        <v>6.5</v>
      </c>
      <c r="F17" s="532">
        <v>4.2</v>
      </c>
      <c r="G17" s="532">
        <v>375</v>
      </c>
      <c r="H17" s="532">
        <v>0.65</v>
      </c>
      <c r="I17" s="532">
        <v>5</v>
      </c>
      <c r="J17" s="37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25">
      <c r="A18" s="139" t="s">
        <v>89</v>
      </c>
      <c r="B18" s="533">
        <v>210</v>
      </c>
      <c r="C18" s="68">
        <v>55</v>
      </c>
      <c r="D18" s="68">
        <v>180</v>
      </c>
      <c r="E18" s="68">
        <v>180</v>
      </c>
      <c r="F18" s="68">
        <v>115</v>
      </c>
      <c r="G18" s="534">
        <v>2.25</v>
      </c>
      <c r="H18" s="535">
        <v>1200</v>
      </c>
      <c r="I18" s="68">
        <v>70</v>
      </c>
      <c r="J18" s="375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25">
      <c r="A19" s="139" t="s">
        <v>75</v>
      </c>
      <c r="B19" s="150">
        <v>0.75</v>
      </c>
      <c r="C19" s="149">
        <v>0.75</v>
      </c>
      <c r="D19" s="149">
        <v>0.75</v>
      </c>
      <c r="E19" s="149">
        <v>0.75</v>
      </c>
      <c r="F19" s="149">
        <v>0.75</v>
      </c>
      <c r="G19" s="149">
        <v>0.75</v>
      </c>
      <c r="H19" s="149">
        <v>0.75</v>
      </c>
      <c r="I19" s="149">
        <v>0.75</v>
      </c>
      <c r="J19" s="37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25">
      <c r="A20" s="139" t="s">
        <v>105</v>
      </c>
      <c r="B20" s="388">
        <v>0</v>
      </c>
      <c r="C20" s="389">
        <v>600</v>
      </c>
      <c r="D20" s="389">
        <v>600</v>
      </c>
      <c r="E20" s="389">
        <v>0</v>
      </c>
      <c r="F20" s="389">
        <v>0</v>
      </c>
      <c r="G20" s="389">
        <v>0</v>
      </c>
      <c r="H20" s="389">
        <v>0</v>
      </c>
      <c r="I20" s="389">
        <v>0</v>
      </c>
      <c r="J20" s="37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5">
      <c r="A21" s="124" t="s">
        <v>70</v>
      </c>
      <c r="B21" s="127">
        <f t="shared" ref="B21:I21" si="1">B22*B18*B20*B19</f>
        <v>0</v>
      </c>
      <c r="C21" s="127">
        <f t="shared" si="1"/>
        <v>0</v>
      </c>
      <c r="D21" s="127">
        <f t="shared" si="1"/>
        <v>0</v>
      </c>
      <c r="E21" s="127">
        <f t="shared" si="1"/>
        <v>0</v>
      </c>
      <c r="F21" s="127">
        <f t="shared" si="1"/>
        <v>0</v>
      </c>
      <c r="G21" s="127">
        <f t="shared" si="1"/>
        <v>0</v>
      </c>
      <c r="H21" s="127">
        <f t="shared" si="1"/>
        <v>0</v>
      </c>
      <c r="I21" s="127">
        <f t="shared" si="1"/>
        <v>0</v>
      </c>
      <c r="J21" s="347">
        <f>SUM(B21:I21)</f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5">
      <c r="A22" s="425" t="s">
        <v>53</v>
      </c>
      <c r="B22" s="92">
        <f>IF(B17&lt;B23,B23-B17,0)</f>
        <v>0</v>
      </c>
      <c r="C22" s="92">
        <f>IF(C17&lt;C23,C23-C17,0)</f>
        <v>0</v>
      </c>
      <c r="D22" s="92">
        <f>IF((D17-D24)&lt;D23,D23-(D17-D24),0)</f>
        <v>0</v>
      </c>
      <c r="E22" s="92">
        <f>IF((E17-E24)&lt;E23,E23-(E17-E24),0)</f>
        <v>0</v>
      </c>
      <c r="F22" s="92">
        <f>IF(F17&lt;F23,F23-F17,0)</f>
        <v>0</v>
      </c>
      <c r="G22" s="92">
        <f>IF(G17&lt;G23,G23-G17,0)</f>
        <v>0</v>
      </c>
      <c r="H22" s="92">
        <f>IF((H17-H24)&lt;H23,H23-(H17-H24),0)</f>
        <v>1.0000000000000009E-2</v>
      </c>
      <c r="I22" s="92">
        <f>IF(I17&lt;I23,I23-I17,0)</f>
        <v>0</v>
      </c>
      <c r="J22" s="30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25">
      <c r="A23" s="425" t="s">
        <v>52</v>
      </c>
      <c r="B23" s="92">
        <v>1.95</v>
      </c>
      <c r="C23" s="92">
        <v>5</v>
      </c>
      <c r="D23" s="92">
        <f>(6.5/100)*45</f>
        <v>2.9250000000000003</v>
      </c>
      <c r="E23" s="92">
        <f>(6.5/100)*45</f>
        <v>2.9250000000000003</v>
      </c>
      <c r="F23" s="92">
        <v>1.95</v>
      </c>
      <c r="G23" s="92">
        <v>355</v>
      </c>
      <c r="H23" s="92">
        <v>0.52</v>
      </c>
      <c r="I23" s="92">
        <v>2.94</v>
      </c>
      <c r="J23" s="30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4.4" thickBot="1" x14ac:dyDescent="0.3">
      <c r="A24" s="426" t="s">
        <v>51</v>
      </c>
      <c r="B24" s="378" t="s">
        <v>40</v>
      </c>
      <c r="C24" s="379" t="s">
        <v>40</v>
      </c>
      <c r="D24" s="380">
        <f>D13</f>
        <v>0</v>
      </c>
      <c r="E24" s="380">
        <f>E13</f>
        <v>1</v>
      </c>
      <c r="F24" s="379" t="s">
        <v>40</v>
      </c>
      <c r="G24" s="379" t="s">
        <v>40</v>
      </c>
      <c r="H24" s="380">
        <v>0.14000000000000001</v>
      </c>
      <c r="I24" s="379" t="s">
        <v>40</v>
      </c>
      <c r="J24" s="38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</sheetData>
  <sheetProtection sheet="1" objects="1" scenarios="1" selectLockedCell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GP_ShareRent</vt:lpstr>
      <vt:lpstr>GP_Owned_CashRent</vt:lpstr>
      <vt:lpstr>National_County</vt:lpstr>
      <vt:lpstr>PLC_ARC_National_Price</vt:lpstr>
      <vt:lpstr>PLC_ARC_Owned_CashRent</vt:lpstr>
      <vt:lpstr>PLC_ARC_ShareRent</vt:lpstr>
      <vt:lpstr>PLC_PaymentYields</vt:lpstr>
      <vt:lpstr>LDP</vt:lpstr>
      <vt:lpstr>LDP!Print_Area</vt:lpstr>
      <vt:lpstr>PLC_ARC_National_Price!Print_Area</vt:lpstr>
      <vt:lpstr>PLC_ARC_Owned_CashRent!Print_Area</vt:lpstr>
      <vt:lpstr>PLC_ARC_ShareRent!Print_Area</vt:lpstr>
      <vt:lpstr>PLC_PaymentYields!Print_Area</vt:lpstr>
    </vt:vector>
  </TitlesOfParts>
  <Company>UACES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aflanders</dc:creator>
  <cp:lastModifiedBy>aflanders</cp:lastModifiedBy>
  <cp:lastPrinted>2015-04-17T16:43:53Z</cp:lastPrinted>
  <dcterms:created xsi:type="dcterms:W3CDTF">2014-08-18T16:30:35Z</dcterms:created>
  <dcterms:modified xsi:type="dcterms:W3CDTF">2015-12-08T19:05:48Z</dcterms:modified>
</cp:coreProperties>
</file>