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kmerritt\Downloads\"/>
    </mc:Choice>
  </mc:AlternateContent>
  <xr:revisionPtr revIDLastSave="0" documentId="8_{5BA54DED-C62C-48EE-B470-BE8D420846F1}" xr6:coauthVersionLast="46" xr6:coauthVersionMax="46" xr10:uidLastSave="{00000000-0000-0000-0000-000000000000}"/>
  <bookViews>
    <workbookView xWindow="-110" yWindow="-110" windowWidth="19420" windowHeight="10420" firstSheet="4" activeTab="7" xr2:uid="{00000000-000D-0000-FFFF-FFFF00000000}"/>
  </bookViews>
  <sheets>
    <sheet name="Instruction" sheetId="10" r:id="rId1"/>
    <sheet name="SystemData" sheetId="1" r:id="rId2"/>
    <sheet name="PVDataInput" sheetId="2" r:id="rId3"/>
    <sheet name="UtilityRateInputs" sheetId="3" r:id="rId4"/>
    <sheet name="TaxRate" sheetId="4" r:id="rId5"/>
    <sheet name="PVSystemCosts" sheetId="5" r:id="rId6"/>
    <sheet name="CashFlow" sheetId="6" r:id="rId7"/>
    <sheet name="CashFlowChart" sheetId="7" r:id="rId8"/>
    <sheet name="SystemFinacialResults" sheetId="8" r:id="rId9"/>
    <sheet name="References" sheetId="9" r:id="rId10"/>
  </sheets>
  <definedNames>
    <definedName name="AnnualYield">PVDataInput!#REF!</definedName>
    <definedName name="ElectricityRate">PVDataInput!$B$15</definedName>
    <definedName name="FirstYr_ProductionBenefit">PVDataInput!#REF!</definedName>
    <definedName name="SystemSize">SystemData!$B$4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6" l="1"/>
  <c r="B15" i="2" l="1"/>
  <c r="B7" i="2" l="1"/>
  <c r="B9" i="2" l="1"/>
  <c r="B4" i="2"/>
  <c r="C11" i="6" s="1"/>
  <c r="C9" i="6"/>
  <c r="P10" i="6"/>
  <c r="C15" i="6" l="1"/>
  <c r="D18" i="6" s="1"/>
  <c r="D15" i="6"/>
  <c r="E18" i="6" s="1"/>
  <c r="E11" i="6" s="1"/>
  <c r="E15" i="6"/>
  <c r="F15" i="6"/>
  <c r="G15" i="6"/>
  <c r="H15" i="6"/>
  <c r="I15" i="6"/>
  <c r="J15" i="6"/>
  <c r="K15" i="6"/>
  <c r="L15" i="6"/>
  <c r="M15" i="6"/>
  <c r="N15" i="6"/>
  <c r="O15" i="6"/>
  <c r="P15" i="6"/>
  <c r="Q15" i="6"/>
  <c r="R15" i="6"/>
  <c r="S15" i="6"/>
  <c r="T15" i="6"/>
  <c r="U15" i="6"/>
  <c r="V15" i="6"/>
  <c r="W15" i="6"/>
  <c r="X15" i="6"/>
  <c r="Y15" i="6"/>
  <c r="Z15" i="6"/>
  <c r="AA15" i="6"/>
  <c r="B15" i="6"/>
  <c r="B4" i="3"/>
  <c r="D11" i="6" l="1"/>
  <c r="U18" i="6"/>
  <c r="U11" i="6" s="1"/>
  <c r="D9" i="6" l="1"/>
  <c r="M18" i="6"/>
  <c r="M11" i="6" s="1"/>
  <c r="T18" i="6"/>
  <c r="T11" i="6" s="1"/>
  <c r="P18" i="6"/>
  <c r="P11" i="6" s="1"/>
  <c r="L18" i="6"/>
  <c r="L11" i="6" s="1"/>
  <c r="H18" i="6"/>
  <c r="H11" i="6" s="1"/>
  <c r="AA18" i="6"/>
  <c r="AA11" i="6" s="1"/>
  <c r="W18" i="6"/>
  <c r="W11" i="6" s="1"/>
  <c r="S18" i="6"/>
  <c r="S11" i="6" s="1"/>
  <c r="O18" i="6"/>
  <c r="O11" i="6" s="1"/>
  <c r="K18" i="6"/>
  <c r="K11" i="6" s="1"/>
  <c r="G18" i="6"/>
  <c r="G11" i="6" s="1"/>
  <c r="Z18" i="6"/>
  <c r="Z11" i="6" s="1"/>
  <c r="V18" i="6"/>
  <c r="V11" i="6" s="1"/>
  <c r="Q18" i="6"/>
  <c r="Q11" i="6" s="1"/>
  <c r="I18" i="6"/>
  <c r="I11" i="6" s="1"/>
  <c r="X18" i="6"/>
  <c r="X11" i="6" s="1"/>
  <c r="R18" i="6"/>
  <c r="R11" i="6" s="1"/>
  <c r="N18" i="6"/>
  <c r="N11" i="6" s="1"/>
  <c r="J18" i="6"/>
  <c r="J11" i="6" s="1"/>
  <c r="F18" i="6"/>
  <c r="F11" i="6" s="1"/>
  <c r="Y18" i="6"/>
  <c r="Y11" i="6" s="1"/>
  <c r="B19" i="6" l="1"/>
  <c r="B20" i="6" s="1"/>
  <c r="E9" i="6"/>
  <c r="F9" i="6" s="1"/>
  <c r="G9" i="6" s="1"/>
  <c r="H9" i="6" s="1"/>
  <c r="I9" i="6" s="1"/>
  <c r="J9" i="6" s="1"/>
  <c r="K9" i="6" s="1"/>
  <c r="L9" i="6" s="1"/>
  <c r="M9" i="6" s="1"/>
  <c r="N9" i="6" s="1"/>
  <c r="O9" i="6" s="1"/>
  <c r="B5" i="6"/>
  <c r="B2" i="5"/>
  <c r="B6" i="5" l="1"/>
  <c r="B3" i="5"/>
  <c r="B4" i="6" s="1"/>
  <c r="P9" i="6"/>
  <c r="B3" i="6"/>
  <c r="Q9" i="6" l="1"/>
  <c r="R9" i="6" s="1"/>
  <c r="S9" i="6" s="1"/>
  <c r="T9" i="6" s="1"/>
  <c r="U9" i="6" s="1"/>
  <c r="V9" i="6" s="1"/>
  <c r="W9" i="6" s="1"/>
  <c r="X9" i="6" s="1"/>
  <c r="Y9" i="6" s="1"/>
  <c r="Z9" i="6" s="1"/>
  <c r="B5" i="5"/>
  <c r="B9" i="5" s="1"/>
  <c r="B8" i="6" l="1"/>
  <c r="C9" i="5"/>
  <c r="C13" i="6"/>
  <c r="N13" i="6"/>
  <c r="Q13" i="6"/>
  <c r="X13" i="6"/>
  <c r="W13" i="6"/>
  <c r="T13" i="6"/>
  <c r="V13" i="6"/>
  <c r="E13" i="6"/>
  <c r="H13" i="6"/>
  <c r="S13" i="6"/>
  <c r="Z13" i="6"/>
  <c r="K13" i="6"/>
  <c r="L13" i="6"/>
  <c r="I13" i="6"/>
  <c r="R13" i="6"/>
  <c r="O13" i="6"/>
  <c r="P13" i="6"/>
  <c r="U13" i="6"/>
  <c r="Y13" i="6"/>
  <c r="F13" i="6"/>
  <c r="D13" i="6"/>
  <c r="G13" i="6"/>
  <c r="J13" i="6"/>
  <c r="M13" i="6"/>
  <c r="B7" i="5"/>
  <c r="B7" i="6" s="1"/>
  <c r="AA9" i="6"/>
  <c r="B21" i="6" s="1"/>
  <c r="B22" i="6" l="1"/>
  <c r="B6" i="6"/>
  <c r="AA13" i="6"/>
  <c r="B13" i="6" l="1"/>
  <c r="B2" i="8" s="1"/>
  <c r="B23" i="6" l="1"/>
  <c r="B4" i="8"/>
  <c r="B3" i="8"/>
  <c r="B14" i="6"/>
  <c r="C14" i="6" s="1"/>
  <c r="D14" i="6" l="1"/>
  <c r="E14" i="6" s="1"/>
  <c r="F14" i="6" s="1"/>
  <c r="G14" i="6" s="1"/>
  <c r="H14" i="6" s="1"/>
  <c r="I14" i="6" s="1"/>
  <c r="J14" i="6" s="1"/>
  <c r="K14" i="6" s="1"/>
  <c r="L14" i="6" s="1"/>
  <c r="M14" i="6" s="1"/>
  <c r="N14" i="6" s="1"/>
  <c r="O14" i="6" s="1"/>
  <c r="P14" i="6" s="1"/>
  <c r="Q14" i="6" s="1"/>
  <c r="R14" i="6" s="1"/>
  <c r="S14" i="6" s="1"/>
  <c r="T14" i="6" s="1"/>
  <c r="U14" i="6" s="1"/>
  <c r="V14" i="6" s="1"/>
  <c r="W14" i="6" s="1"/>
  <c r="X14" i="6" s="1"/>
  <c r="Y14" i="6" s="1"/>
  <c r="Z14" i="6" s="1"/>
  <c r="AA14" i="6" s="1"/>
</calcChain>
</file>

<file path=xl/sharedStrings.xml><?xml version="1.0" encoding="utf-8"?>
<sst xmlns="http://schemas.openxmlformats.org/spreadsheetml/2006/main" count="101" uniqueCount="88">
  <si>
    <t>PV SYSTEM INPUTS</t>
  </si>
  <si>
    <t>PV System Costs in $/Watt</t>
  </si>
  <si>
    <t>PV System Size</t>
  </si>
  <si>
    <t>PV System Location</t>
  </si>
  <si>
    <t>Array Type</t>
  </si>
  <si>
    <t>Array Tilt</t>
  </si>
  <si>
    <t>Array Azimuth</t>
  </si>
  <si>
    <t>PV System Lifetime</t>
  </si>
  <si>
    <t>PV Module Degradation Rate</t>
  </si>
  <si>
    <t>kW DC</t>
  </si>
  <si>
    <t xml:space="preserve"> /Watt</t>
  </si>
  <si>
    <t>degrees</t>
  </si>
  <si>
    <t>years</t>
  </si>
  <si>
    <t>per year</t>
  </si>
  <si>
    <t>Enter State:</t>
  </si>
  <si>
    <t>PV System Specifications</t>
  </si>
  <si>
    <t>DC Rating:</t>
  </si>
  <si>
    <t>DC to AC Derate Factor:</t>
  </si>
  <si>
    <t>AC Rating:</t>
  </si>
  <si>
    <t>Array Type:</t>
  </si>
  <si>
    <t>Array Azimuth:</t>
  </si>
  <si>
    <t>kW</t>
  </si>
  <si>
    <t>Array Tilt:</t>
  </si>
  <si>
    <t>Energy Value</t>
  </si>
  <si>
    <t>Cost of Electricity</t>
  </si>
  <si>
    <t>$/kWh</t>
  </si>
  <si>
    <t>Arkansas</t>
  </si>
  <si>
    <t>Year</t>
  </si>
  <si>
    <t>Net Metering Rate?</t>
  </si>
  <si>
    <t>Net Meter Excess Generation Rate</t>
  </si>
  <si>
    <t>Utility Rate Inflation Percentage</t>
  </si>
  <si>
    <t>Utility Rate Inputs</t>
  </si>
  <si>
    <t>Y</t>
  </si>
  <si>
    <t>TAX RATE AND DISCOUNT RATE INPPUTS</t>
  </si>
  <si>
    <t>State Tax Credit Rate</t>
  </si>
  <si>
    <t>State Income Tax Rate</t>
  </si>
  <si>
    <t>Discount Rate (for NPV calculation)</t>
  </si>
  <si>
    <t>Federal Income Tax Rate</t>
  </si>
  <si>
    <t>PV SYSTEM COSTS</t>
  </si>
  <si>
    <t>Grants</t>
  </si>
  <si>
    <t>Rabates</t>
  </si>
  <si>
    <t>PV System Cost after Grants</t>
  </si>
  <si>
    <t>Federal Tax Credit</t>
  </si>
  <si>
    <t>State Tax Credit</t>
  </si>
  <si>
    <t>Cash Down Payment</t>
  </si>
  <si>
    <t>Net Cost of PV System</t>
  </si>
  <si>
    <t>CASH FLOW INPUTS AND CALCULATIONS:</t>
  </si>
  <si>
    <t>Total PV System Cost</t>
  </si>
  <si>
    <t>Rebates</t>
  </si>
  <si>
    <t>O &amp; M Costs</t>
  </si>
  <si>
    <t>Equipment Costs</t>
  </si>
  <si>
    <t>Cash Payment</t>
  </si>
  <si>
    <t>Cumulative Returns / Cash Flow</t>
  </si>
  <si>
    <t>Total Returns / Cash Flow</t>
  </si>
  <si>
    <t>PV System Financial Results</t>
  </si>
  <si>
    <t>Simple Payback</t>
  </si>
  <si>
    <t>Years</t>
  </si>
  <si>
    <t>Net Present Value (NPV)</t>
  </si>
  <si>
    <t>Internal Rate of Return (IRR)</t>
  </si>
  <si>
    <t xml:space="preserve">* Rural Energy for America Program (REAP) </t>
  </si>
  <si>
    <t>Life time O&amp;M costs</t>
  </si>
  <si>
    <t>Cash outflow</t>
  </si>
  <si>
    <t>Annual Production, kWh</t>
  </si>
  <si>
    <t># of Yr to Cost Recover</t>
  </si>
  <si>
    <t>Fixed</t>
  </si>
  <si>
    <t>Utility Retail Rate</t>
  </si>
  <si>
    <t>(ITC)</t>
  </si>
  <si>
    <t>Federal Investment Tax Credit Rate</t>
  </si>
  <si>
    <t>Initial Cost of PV System</t>
  </si>
  <si>
    <t>REAP Grants *</t>
  </si>
  <si>
    <t>Utility Bill Savings (Pre Tax)</t>
  </si>
  <si>
    <t>This cell value is a look up (static) of Row 15 of Tab "CashFlow", when Cumulative return changes from negative to positive, or whenever the bar flips from negative to positive on the CashFlowChart.</t>
  </si>
  <si>
    <t>Lifetime production, kWh</t>
  </si>
  <si>
    <t>Lifetime energy savings, $</t>
  </si>
  <si>
    <t>LCOE, $/kWh</t>
  </si>
  <si>
    <t xml:space="preserve">University of Arkansas Division of Agriculture </t>
  </si>
  <si>
    <t>N</t>
  </si>
  <si>
    <t>PV Production Data</t>
  </si>
  <si>
    <t>Year (Rule-of-thumb)</t>
  </si>
  <si>
    <t>kWh/kWp</t>
  </si>
  <si>
    <t>First year production value</t>
  </si>
  <si>
    <t>It  assumes a net metering policy similar to the State of Arkansas (as of 2020).</t>
  </si>
  <si>
    <t>The calculator does not include the cost of capital, meaning no interest to be paid for the initial cost of the PV system.</t>
  </si>
  <si>
    <t>Certain costs, such as the Operation &amp; Maintenance, are built in formulas based on research from the past decade, and could change over time.</t>
  </si>
  <si>
    <t xml:space="preserve">This spreadsheet model is mainly developed as a simple tool to assist potential solar PV customers in the state of Arkansas. </t>
  </si>
  <si>
    <t>Sophisticated tools, such as a SAM model (https://sam.nrel.gov/), are available to conduct more accurate financial analysis.</t>
  </si>
  <si>
    <t>The calculator does not include depreciation method, which is an income tax deduction that allows business owners to recover the cost or other basis of the PV system.</t>
  </si>
  <si>
    <t xml:space="preserve">Input cells such as PV system cost, utility emergy price, PV module degradation rate, etc. can be entered in order to calculate outputs including internal rate of return, net present values, etc., and display a cash flow diagram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</si>
</sst>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quot;$&quot;#,##0.00"/>
    <numFmt numFmtId="165" formatCode="&quot;$&quot;#,##0"/>
    <numFmt numFmtId="166" formatCode="_(* #,##0_);_(* \(#,##0\);_(* &quot;-&quot;??_);_(@_)"/>
    <numFmt numFmtId="167" formatCode="0.0000"/>
    <numFmt numFmtId="168" formatCode="0.0%"/>
    <numFmt numFmtId="169" formatCode="_(* #,##0.000_);_(* \(#,##0.000\);_(* &quot;-&quot;??_);_(@_)"/>
    <numFmt numFmtId="170" formatCode="_(* #,##0_);_(* \(#,##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0"/>
      <color theme="1"/>
      <name val="Calibri"/>
      <family val="2"/>
      <scheme val="minor"/>
    </font>
    <font>
      <sz val="10"/>
      <color theme="1"/>
      <name val="Arial"/>
      <family val="2"/>
    </font>
    <font>
      <sz val="11"/>
      <color rgb="FF000000"/>
      <name val="Calibri"/>
      <family val="2"/>
      <scheme val="minor"/>
    </font>
    <font>
      <sz val="11"/>
      <color rgb="FFC00000"/>
      <name val="Calibri"/>
      <family val="2"/>
      <scheme val="minor"/>
    </font>
  </fonts>
  <fills count="7">
    <fill>
      <patternFill patternType="none"/>
    </fill>
    <fill>
      <patternFill patternType="gray125"/>
    </fill>
    <fill>
      <patternFill patternType="solid">
        <fgColor theme="9" tint="0.39997558519241921"/>
        <bgColor indexed="64"/>
      </patternFill>
    </fill>
    <fill>
      <patternFill patternType="solid">
        <fgColor theme="0" tint="-0.249977111117893"/>
        <bgColor indexed="64"/>
      </patternFill>
    </fill>
    <fill>
      <patternFill patternType="solid">
        <fgColor rgb="FFDEDEDE"/>
        <bgColor indexed="64"/>
      </patternFill>
    </fill>
    <fill>
      <patternFill patternType="solid">
        <fgColor theme="9" tint="0.59999389629810485"/>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2">
    <xf numFmtId="0" fontId="0" fillId="0" borderId="0" xfId="0"/>
    <xf numFmtId="0" fontId="0" fillId="0" borderId="0" xfId="0" applyAlignment="1">
      <alignment horizontal="right"/>
    </xf>
    <xf numFmtId="0" fontId="3" fillId="0" borderId="0" xfId="0" applyFont="1" applyAlignment="1">
      <alignment horizontal="right"/>
    </xf>
    <xf numFmtId="0" fontId="3" fillId="0" borderId="0" xfId="0" applyFont="1"/>
    <xf numFmtId="0" fontId="0" fillId="0" borderId="1" xfId="0" applyBorder="1"/>
    <xf numFmtId="0" fontId="0" fillId="0" borderId="5" xfId="0" applyBorder="1"/>
    <xf numFmtId="0" fontId="0" fillId="0" borderId="6" xfId="0" applyBorder="1"/>
    <xf numFmtId="0" fontId="3" fillId="0" borderId="1" xfId="0" applyFont="1" applyBorder="1"/>
    <xf numFmtId="0" fontId="3" fillId="0" borderId="5" xfId="0" applyFont="1" applyBorder="1"/>
    <xf numFmtId="0" fontId="3" fillId="0" borderId="6" xfId="0" applyFont="1" applyBorder="1"/>
    <xf numFmtId="0" fontId="2" fillId="0" borderId="0" xfId="0" applyFont="1"/>
    <xf numFmtId="0" fontId="0" fillId="0" borderId="3" xfId="0" applyFill="1" applyBorder="1" applyAlignment="1">
      <alignment horizontal="right" wrapText="1"/>
    </xf>
    <xf numFmtId="0" fontId="2" fillId="0" borderId="0" xfId="0" applyFont="1" applyAlignment="1">
      <alignment horizontal="right"/>
    </xf>
    <xf numFmtId="164" fontId="0" fillId="0" borderId="0" xfId="2" applyNumberFormat="1" applyFont="1"/>
    <xf numFmtId="4" fontId="0" fillId="2" borderId="0" xfId="1" applyNumberFormat="1" applyFont="1" applyFill="1"/>
    <xf numFmtId="164" fontId="0" fillId="2" borderId="0" xfId="0" applyNumberFormat="1" applyFill="1"/>
    <xf numFmtId="4" fontId="0" fillId="0" borderId="0" xfId="0" applyNumberFormat="1"/>
    <xf numFmtId="0" fontId="0" fillId="3" borderId="0" xfId="0" applyFill="1"/>
    <xf numFmtId="0" fontId="4" fillId="0" borderId="0" xfId="0" applyFont="1" applyAlignment="1">
      <alignment horizontal="right"/>
    </xf>
    <xf numFmtId="0" fontId="4" fillId="3" borderId="0" xfId="0" applyFont="1" applyFill="1"/>
    <xf numFmtId="165" fontId="4" fillId="0" borderId="0" xfId="0" applyNumberFormat="1" applyFont="1"/>
    <xf numFmtId="0" fontId="4" fillId="0" borderId="0" xfId="0" applyFont="1"/>
    <xf numFmtId="3" fontId="0" fillId="0" borderId="0" xfId="0" applyNumberFormat="1"/>
    <xf numFmtId="167" fontId="3" fillId="0" borderId="0" xfId="0" applyNumberFormat="1" applyFont="1"/>
    <xf numFmtId="6" fontId="0" fillId="0" borderId="1" xfId="0" applyNumberFormat="1" applyBorder="1"/>
    <xf numFmtId="0" fontId="5" fillId="0" borderId="0" xfId="0" applyFont="1" applyAlignment="1">
      <alignment horizontal="right"/>
    </xf>
    <xf numFmtId="0" fontId="5" fillId="0" borderId="0" xfId="0" applyFont="1"/>
    <xf numFmtId="0" fontId="6" fillId="0" borderId="0" xfId="0" applyFont="1"/>
    <xf numFmtId="3" fontId="7" fillId="0" borderId="0" xfId="0" applyNumberFormat="1" applyFont="1"/>
    <xf numFmtId="166" fontId="0" fillId="0" borderId="0" xfId="0" applyNumberFormat="1"/>
    <xf numFmtId="1" fontId="0" fillId="0" borderId="0" xfId="0" applyNumberFormat="1"/>
    <xf numFmtId="164" fontId="0" fillId="4" borderId="0" xfId="2" applyNumberFormat="1" applyFont="1" applyFill="1"/>
    <xf numFmtId="166" fontId="0" fillId="5" borderId="0" xfId="1" applyNumberFormat="1" applyFont="1" applyFill="1"/>
    <xf numFmtId="3" fontId="0" fillId="5" borderId="0" xfId="0" applyNumberFormat="1" applyFill="1"/>
    <xf numFmtId="165" fontId="0" fillId="5" borderId="0" xfId="0" applyNumberFormat="1" applyFill="1"/>
    <xf numFmtId="169" fontId="0" fillId="5" borderId="0" xfId="0" applyNumberFormat="1" applyFill="1"/>
    <xf numFmtId="170" fontId="0" fillId="0" borderId="0" xfId="0" applyNumberFormat="1"/>
    <xf numFmtId="0" fontId="0" fillId="6" borderId="0" xfId="0" applyFill="1" applyAlignment="1">
      <alignment horizontal="center"/>
    </xf>
    <xf numFmtId="164" fontId="0" fillId="0" borderId="0" xfId="0" applyNumberFormat="1"/>
    <xf numFmtId="165" fontId="0" fillId="0" borderId="0" xfId="0" applyNumberFormat="1"/>
    <xf numFmtId="0" fontId="0" fillId="0" borderId="0" xfId="0" applyBorder="1"/>
    <xf numFmtId="0" fontId="0" fillId="0" borderId="1" xfId="0" applyBorder="1" applyAlignment="1">
      <alignment horizontal="center"/>
    </xf>
    <xf numFmtId="1" fontId="0" fillId="0" borderId="1" xfId="0" applyNumberFormat="1" applyBorder="1" applyAlignment="1">
      <alignment horizontal="center"/>
    </xf>
    <xf numFmtId="9" fontId="0" fillId="0" borderId="1" xfId="0" applyNumberFormat="1" applyBorder="1" applyAlignment="1">
      <alignment horizontal="center"/>
    </xf>
    <xf numFmtId="9" fontId="0" fillId="4" borderId="1" xfId="0" applyNumberFormat="1" applyFill="1" applyBorder="1" applyAlignment="1">
      <alignment horizontal="center"/>
    </xf>
    <xf numFmtId="0" fontId="0" fillId="4" borderId="1" xfId="0" applyFill="1" applyBorder="1" applyAlignment="1">
      <alignment horizontal="center"/>
    </xf>
    <xf numFmtId="168" fontId="0" fillId="4" borderId="1" xfId="0" applyNumberFormat="1" applyFill="1" applyBorder="1" applyAlignment="1">
      <alignment horizontal="center"/>
    </xf>
    <xf numFmtId="0" fontId="0" fillId="4" borderId="0" xfId="0" applyFill="1" applyAlignment="1">
      <alignment horizontal="center"/>
    </xf>
    <xf numFmtId="0" fontId="0" fillId="6" borderId="1" xfId="0" applyFill="1" applyBorder="1" applyAlignment="1">
      <alignment horizontal="center"/>
    </xf>
    <xf numFmtId="44" fontId="3" fillId="4" borderId="1" xfId="2" applyFont="1" applyFill="1" applyBorder="1" applyAlignment="1">
      <alignment horizontal="center"/>
    </xf>
    <xf numFmtId="0" fontId="3" fillId="4" borderId="1" xfId="0" applyFont="1" applyFill="1" applyBorder="1" applyAlignment="1">
      <alignment horizontal="center"/>
    </xf>
    <xf numFmtId="0" fontId="3" fillId="0" borderId="1" xfId="0" applyFont="1" applyBorder="1" applyAlignment="1">
      <alignment horizontal="center"/>
    </xf>
    <xf numFmtId="0" fontId="3" fillId="6" borderId="1" xfId="0" applyFont="1" applyFill="1" applyBorder="1" applyAlignment="1">
      <alignment horizontal="center"/>
    </xf>
    <xf numFmtId="10" fontId="3" fillId="4" borderId="1" xfId="0" applyNumberFormat="1" applyFont="1" applyFill="1" applyBorder="1" applyAlignment="1">
      <alignment horizontal="center"/>
    </xf>
    <xf numFmtId="166" fontId="0" fillId="0" borderId="0" xfId="1" applyNumberFormat="1" applyFont="1" applyBorder="1" applyAlignment="1">
      <alignment horizontal="center"/>
    </xf>
    <xf numFmtId="0" fontId="0" fillId="0" borderId="0" xfId="0" applyBorder="1" applyAlignment="1">
      <alignment horizontal="center"/>
    </xf>
    <xf numFmtId="0" fontId="0" fillId="2" borderId="2" xfId="0" applyFill="1" applyBorder="1" applyAlignment="1">
      <alignment horizontal="center"/>
    </xf>
    <xf numFmtId="0" fontId="0" fillId="0" borderId="0" xfId="0" applyAlignment="1">
      <alignment horizontal="left"/>
    </xf>
    <xf numFmtId="0" fontId="0" fillId="0" borderId="4" xfId="0" applyBorder="1" applyAlignment="1">
      <alignment horizontal="center"/>
    </xf>
    <xf numFmtId="0" fontId="3" fillId="0" borderId="0" xfId="0" applyFont="1" applyAlignment="1">
      <alignment horizontal="center"/>
    </xf>
    <xf numFmtId="0" fontId="0" fillId="0" borderId="0" xfId="0" applyAlignment="1">
      <alignment horizontal="right"/>
    </xf>
    <xf numFmtId="0" fontId="0" fillId="0" borderId="0" xfId="0" applyAlignment="1"/>
  </cellXfs>
  <cellStyles count="3">
    <cellStyle name="Comma" xfId="1" builtinId="3"/>
    <cellStyle name="Currency" xfId="2" builtinId="4"/>
    <cellStyle name="Normal" xfId="0" builtinId="0"/>
  </cellStyles>
  <dxfs count="6">
    <dxf>
      <font>
        <color rgb="FF9C0006"/>
      </font>
    </dxf>
    <dxf>
      <font>
        <color rgb="FF9C0006"/>
      </font>
    </dxf>
    <dxf>
      <font>
        <color rgb="FF9C0006"/>
      </font>
    </dxf>
    <dxf>
      <font>
        <color rgb="FF9C0006"/>
      </font>
    </dxf>
    <dxf>
      <font>
        <color rgb="FF9C0006"/>
      </font>
    </dxf>
    <dxf>
      <font>
        <color rgb="FFFF0000"/>
      </font>
      <numFmt numFmtId="0" formatCode="General"/>
    </dxf>
  </dxfs>
  <tableStyles count="0" defaultTableStyle="TableStyleMedium2" defaultPivotStyle="PivotStyleLight16"/>
  <colors>
    <mruColors>
      <color rgb="FFDED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r>
              <a:rPr lang="en-US"/>
              <a:t>PV System Cumulative Cash Flow</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CashFlow!$B$15:$AA$15</c:f>
              <c:strCache>
                <c:ptCount val="2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strCache>
            </c:strRef>
          </c:tx>
          <c:spPr>
            <a:solidFill>
              <a:schemeClr val="accent2"/>
            </a:solidFill>
            <a:ln>
              <a:noFill/>
            </a:ln>
            <a:effectLst/>
          </c:spPr>
          <c:invertIfNegative val="0"/>
          <c:val>
            <c:numRef>
              <c:f>CashFlow!$B$14:$AA$14</c:f>
              <c:numCache>
                <c:formatCode>"$"#,##0</c:formatCode>
                <c:ptCount val="26"/>
                <c:pt idx="0" formatCode="#,##0">
                  <c:v>-206460</c:v>
                </c:pt>
                <c:pt idx="1">
                  <c:v>-181710</c:v>
                </c:pt>
                <c:pt idx="2">
                  <c:v>-156095.24225004</c:v>
                </c:pt>
                <c:pt idx="3">
                  <c:v>-130050.78412379567</c:v>
                </c:pt>
                <c:pt idx="4">
                  <c:v>-103569.43076929277</c:v>
                </c:pt>
                <c:pt idx="5">
                  <c:v>-76643.867139212583</c:v>
                </c:pt>
                <c:pt idx="6">
                  <c:v>-49266.655988491802</c:v>
                </c:pt>
                <c:pt idx="7">
                  <c:v>-21430.235838675835</c:v>
                </c:pt>
                <c:pt idx="8">
                  <c:v>6873.0810915240399</c:v>
                </c:pt>
                <c:pt idx="9">
                  <c:v>35651.110990028435</c:v>
                </c:pt>
                <c:pt idx="10">
                  <c:v>64911.800590110586</c:v>
                </c:pt>
                <c:pt idx="11">
                  <c:v>94663.229344617139</c:v>
                </c:pt>
                <c:pt idx="12">
                  <c:v>124913.61163627604</c:v>
                </c:pt>
                <c:pt idx="13">
                  <c:v>155671.29902468764</c:v>
                </c:pt>
                <c:pt idx="14">
                  <c:v>131144.78253060562</c:v>
                </c:pt>
                <c:pt idx="15">
                  <c:v>162942.69495812344</c:v>
                </c:pt>
                <c:pt idx="16">
                  <c:v>195273.81325539321</c:v>
                </c:pt>
                <c:pt idx="17">
                  <c:v>228147.0609145131</c:v>
                </c:pt>
                <c:pt idx="18">
                  <c:v>261571.51041123076</c:v>
                </c:pt>
                <c:pt idx="19">
                  <c:v>295556.38568512013</c:v>
                </c:pt>
                <c:pt idx="20">
                  <c:v>330111.06466090045</c:v>
                </c:pt>
                <c:pt idx="21">
                  <c:v>365245.08181157679</c:v>
                </c:pt>
                <c:pt idx="22">
                  <c:v>400968.13076409278</c:v>
                </c:pt>
                <c:pt idx="23">
                  <c:v>437290.06694819778</c:v>
                </c:pt>
                <c:pt idx="24">
                  <c:v>474220.91028924152</c:v>
                </c:pt>
                <c:pt idx="25">
                  <c:v>511770.84794562217</c:v>
                </c:pt>
              </c:numCache>
            </c:numRef>
          </c:val>
          <c:extLst>
            <c:ext xmlns:c16="http://schemas.microsoft.com/office/drawing/2014/chart" uri="{C3380CC4-5D6E-409C-BE32-E72D297353CC}">
              <c16:uniqueId val="{00000001-7404-4BFF-B19E-AC60667EDCCD}"/>
            </c:ext>
          </c:extLst>
        </c:ser>
        <c:dLbls>
          <c:showLegendKey val="0"/>
          <c:showVal val="0"/>
          <c:showCatName val="0"/>
          <c:showSerName val="0"/>
          <c:showPercent val="0"/>
          <c:showBubbleSize val="0"/>
        </c:dLbls>
        <c:gapWidth val="219"/>
        <c:overlap val="-27"/>
        <c:axId val="449939096"/>
        <c:axId val="449941392"/>
      </c:barChart>
      <c:catAx>
        <c:axId val="449939096"/>
        <c:scaling>
          <c:orientation val="minMax"/>
        </c:scaling>
        <c:delete val="0"/>
        <c:axPos val="b"/>
        <c:title>
          <c:tx>
            <c:rich>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US"/>
                  <a:t>Years</a:t>
                </a:r>
              </a:p>
            </c:rich>
          </c:tx>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9941392"/>
        <c:crosses val="autoZero"/>
        <c:auto val="1"/>
        <c:lblAlgn val="ctr"/>
        <c:lblOffset val="100"/>
        <c:noMultiLvlLbl val="0"/>
      </c:catAx>
      <c:valAx>
        <c:axId val="449941392"/>
        <c:scaling>
          <c:orientation val="minMax"/>
          <c:max val="5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US"/>
                  <a:t>Cash Flow ($)</a:t>
                </a:r>
              </a:p>
            </c:rich>
          </c:tx>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49939096"/>
        <c:crosses val="autoZero"/>
        <c:crossBetween val="between"/>
      </c:valAx>
      <c:spPr>
        <a:noFill/>
        <a:ln>
          <a:solidFill>
            <a:schemeClr val="bg1">
              <a:lumMod val="8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1</xdr:row>
      <xdr:rowOff>76199</xdr:rowOff>
    </xdr:from>
    <xdr:to>
      <xdr:col>16</xdr:col>
      <xdr:colOff>333375</xdr:colOff>
      <xdr:row>10</xdr:row>
      <xdr:rowOff>133350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771900" y="257174"/>
          <a:ext cx="7277100" cy="2219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PV System Cost ($/Watt) and Size(kW)</a:t>
          </a:r>
        </a:p>
        <a:p>
          <a:r>
            <a:rPr lang="en-US" sz="1100"/>
            <a:t> - Enter the PV system cost/Watt (used to</a:t>
          </a:r>
          <a:r>
            <a:rPr lang="en-US" sz="1100" baseline="0"/>
            <a:t> calculate PV SystemCosts in #5 tab</a:t>
          </a:r>
          <a:r>
            <a:rPr lang="en-US" sz="1100"/>
            <a:t> </a:t>
          </a:r>
        </a:p>
        <a:p>
          <a:r>
            <a:rPr lang="en-US" sz="1100"/>
            <a:t> - Enter the desired PV system size (used to calculate: 1 PV system costs; 2. annual energy production in PVWattsData)</a:t>
          </a:r>
        </a:p>
        <a:p>
          <a:endParaRPr lang="en-US" sz="1100"/>
        </a:p>
        <a:p>
          <a:r>
            <a:rPr lang="en-US" sz="1100"/>
            <a:t>PV system size: PV system should be designed to generate roughly 85 to 100% of customer's annual</a:t>
          </a:r>
          <a:r>
            <a:rPr lang="en-US" sz="1100" baseline="0"/>
            <a:t> electricity usage (kWh/year)</a:t>
          </a:r>
        </a:p>
        <a:p>
          <a:endParaRPr lang="en-US" sz="1100"/>
        </a:p>
        <a:p>
          <a:r>
            <a:rPr lang="en-US" sz="1100"/>
            <a:t>PV System Location.</a:t>
          </a:r>
        </a:p>
        <a:p>
          <a:r>
            <a:rPr lang="en-US" sz="1100"/>
            <a:t>Ground-mounted PV arrays typically tilt around 25 degree in our location, an angle close to the latitude in this region. Array azimuth of 180 degrees indicates that it is facing south direction.</a:t>
          </a:r>
        </a:p>
        <a:p>
          <a:endParaRPr lang="en-US" sz="1100"/>
        </a:p>
        <a:p>
          <a:r>
            <a:rPr lang="en-US" sz="1100"/>
            <a:t>PV system Lifetime and PV Module Degradation Rate, based on Jordan et al., 2016 (see Tab "References").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xdr:colOff>
      <xdr:row>1</xdr:row>
      <xdr:rowOff>9525</xdr:rowOff>
    </xdr:from>
    <xdr:to>
      <xdr:col>14</xdr:col>
      <xdr:colOff>295275</xdr:colOff>
      <xdr:row>5</xdr:row>
      <xdr:rowOff>38100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333750" y="200025"/>
          <a:ext cx="6334125" cy="1095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simplicity,</a:t>
          </a:r>
          <a:r>
            <a:rPr lang="en-US" sz="1100" baseline="0"/>
            <a:t> an </a:t>
          </a:r>
          <a:r>
            <a:rPr lang="en-US" sz="1100" baseline="0">
              <a:solidFill>
                <a:schemeClr val="dk1"/>
              </a:solidFill>
              <a:effectLst/>
              <a:latin typeface="+mn-lt"/>
              <a:ea typeface="+mn-ea"/>
              <a:cs typeface="+mn-cs"/>
            </a:rPr>
            <a:t>annual production of </a:t>
          </a:r>
          <a:r>
            <a:rPr lang="en-US" sz="1100" baseline="0"/>
            <a:t>1450 kWh/kW is a good estimate for a fixed-tilt PV solar system angled at 25 degrees due south in </a:t>
          </a:r>
          <a:r>
            <a:rPr lang="en-US" sz="1100">
              <a:solidFill>
                <a:schemeClr val="dk1"/>
              </a:solidFill>
              <a:effectLst/>
              <a:latin typeface="+mn-lt"/>
              <a:ea typeface="+mn-ea"/>
              <a:cs typeface="+mn-cs"/>
            </a:rPr>
            <a:t>any location within the state</a:t>
          </a:r>
          <a:r>
            <a:rPr lang="en-US" sz="1100" baseline="0">
              <a:solidFill>
                <a:schemeClr val="dk1"/>
              </a:solidFill>
              <a:effectLst/>
              <a:latin typeface="+mn-lt"/>
              <a:ea typeface="+mn-ea"/>
              <a:cs typeface="+mn-cs"/>
            </a:rPr>
            <a:t> of Arkansas</a:t>
          </a:r>
          <a:r>
            <a:rPr lang="en-US" sz="1100" baseline="0"/>
            <a:t>.  </a:t>
          </a:r>
        </a:p>
        <a:p>
          <a:endParaRPr lang="en-US" sz="1100" baseline="0"/>
        </a:p>
        <a:p>
          <a:r>
            <a:rPr lang="en-US" sz="1100" baseline="0"/>
            <a:t>For locations other than the state of Arkansas, </a:t>
          </a:r>
          <a:r>
            <a:rPr lang="en-US" sz="1100"/>
            <a:t>data from PVWatts can be enter into B5 of the spreadsheet.</a:t>
          </a:r>
        </a:p>
        <a:p>
          <a:endParaRPr lang="en-US" sz="1100"/>
        </a:p>
        <a:p>
          <a:r>
            <a:rPr lang="en-US" sz="1100"/>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457200</xdr:colOff>
      <xdr:row>0</xdr:row>
      <xdr:rowOff>180975</xdr:rowOff>
    </xdr:from>
    <xdr:to>
      <xdr:col>12</xdr:col>
      <xdr:colOff>457199</xdr:colOff>
      <xdr:row>8</xdr:row>
      <xdr:rowOff>28575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752850" y="180975"/>
          <a:ext cx="5486399" cy="170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Retail rates: retail rates for commercial businnes</a:t>
          </a:r>
          <a:r>
            <a:rPr lang="en-US" sz="1100" baseline="0"/>
            <a:t> in Arkansas are mostly between $0.07 to 0.11 per kWh. The ratail rates are calculated by dividing the "Net amount due, $" with the "Monthly electricity use, kWh/mo." on your monthly electricity bill. </a:t>
          </a:r>
        </a:p>
        <a:p>
          <a:endParaRPr lang="en-US" sz="1100" baseline="0"/>
        </a:p>
        <a:p>
          <a:r>
            <a:rPr lang="en-US" sz="1100"/>
            <a:t>Net meter excess generation rate equals the retail rate based on the existing AR net metering policy. In some states, this rate can be lower than the retail rates (some states  pay whole sale rates to solar customers). </a:t>
          </a:r>
        </a:p>
        <a:p>
          <a:endParaRPr lang="en-US" sz="1100"/>
        </a:p>
        <a:p>
          <a:r>
            <a:rPr lang="en-US" sz="1100"/>
            <a:t>Utility rate inflation is estimated as 2% per year.</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190500</xdr:colOff>
      <xdr:row>1</xdr:row>
      <xdr:rowOff>0</xdr:rowOff>
    </xdr:from>
    <xdr:to>
      <xdr:col>10</xdr:col>
      <xdr:colOff>361950</xdr:colOff>
      <xdr:row>6</xdr:row>
      <xdr:rowOff>238125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476625" y="247650"/>
          <a:ext cx="4438650"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Federal Investment Tax Credit Rate for installing PV systems </a:t>
          </a:r>
        </a:p>
        <a:p>
          <a:endParaRPr lang="en-US" sz="1100"/>
        </a:p>
        <a:p>
          <a:r>
            <a:rPr lang="en-US" sz="1100"/>
            <a:t>Federal and state income tax rates for calculating pre-tax benefits of energy savings from the PV system </a:t>
          </a:r>
        </a:p>
        <a:p>
          <a:endParaRPr lang="en-US" sz="1100"/>
        </a:p>
        <a:p>
          <a:r>
            <a:rPr lang="en-US" sz="1100"/>
            <a:t>Discount rate for calculating net present values (NPV) of future cash flows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85725</xdr:colOff>
      <xdr:row>1</xdr:row>
      <xdr:rowOff>66675</xdr:rowOff>
    </xdr:from>
    <xdr:to>
      <xdr:col>12</xdr:col>
      <xdr:colOff>123825</xdr:colOff>
      <xdr:row>7</xdr:row>
      <xdr:rowOff>152400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4467225" y="323850"/>
          <a:ext cx="4914900" cy="1628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Calculates the Initial Cost of the PV System:</a:t>
          </a:r>
        </a:p>
        <a:p>
          <a:r>
            <a:rPr lang="en-US" sz="1200"/>
            <a:t>• Equals $/Watt x (1,000 W/kW x PV system size (kW))</a:t>
          </a:r>
        </a:p>
        <a:p>
          <a:endParaRPr lang="en-US" sz="1200"/>
        </a:p>
        <a:p>
          <a:r>
            <a:rPr lang="en-US" sz="1200"/>
            <a:t>REAP grant is a competitive USDA program that fund qualified renewable energy projects.  If your project is awarded the grant, enter "Y" in Cell C3.</a:t>
          </a:r>
        </a:p>
        <a:p>
          <a:endParaRPr lang="en-US" sz="1200"/>
        </a:p>
        <a:p>
          <a:r>
            <a:rPr lang="en-US" sz="1200"/>
            <a:t>Calculates Net Cost of the PV system after grants, rebates, federal and state tax credits,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527844</xdr:colOff>
      <xdr:row>18</xdr:row>
      <xdr:rowOff>152135</xdr:rowOff>
    </xdr:from>
    <xdr:to>
      <xdr:col>19</xdr:col>
      <xdr:colOff>264584</xdr:colOff>
      <xdr:row>30</xdr:row>
      <xdr:rowOff>158750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3337719" y="4666985"/>
          <a:ext cx="9804665" cy="22926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200" b="0" i="0" u="none" strike="noStrike" baseline="0">
              <a:solidFill>
                <a:schemeClr val="dk1"/>
              </a:solidFill>
              <a:latin typeface="+mn-lt"/>
              <a:ea typeface="+mn-ea"/>
              <a:cs typeface="+mn-cs"/>
            </a:rPr>
            <a:t>Enter incentives, other credits, O&amp;M, and equipment costs (CellJ11, a  expense of a </a:t>
          </a:r>
          <a:r>
            <a:rPr lang="en-US" sz="1100" b="0" i="0" baseline="0">
              <a:solidFill>
                <a:schemeClr val="dk1"/>
              </a:solidFill>
              <a:effectLst/>
              <a:latin typeface="+mn-lt"/>
              <a:ea typeface="+mn-ea"/>
              <a:cs typeface="+mn-cs"/>
            </a:rPr>
            <a:t>replacement inverter at  year 10)</a:t>
          </a:r>
          <a:r>
            <a:rPr lang="en-US" sz="1200" b="0" i="0" u="none" strike="noStrike" baseline="0">
              <a:solidFill>
                <a:schemeClr val="dk1"/>
              </a:solidFill>
              <a:latin typeface="+mn-lt"/>
              <a:ea typeface="+mn-ea"/>
              <a:cs typeface="+mn-cs"/>
            </a:rPr>
            <a:t> that occur over time in the </a:t>
          </a:r>
          <a:r>
            <a:rPr lang="en-US" sz="1200" b="0" i="1" u="none" strike="noStrike" baseline="0">
              <a:solidFill>
                <a:schemeClr val="dk1"/>
              </a:solidFill>
              <a:latin typeface="+mn-lt"/>
              <a:ea typeface="+mn-ea"/>
              <a:cs typeface="+mn-cs"/>
            </a:rPr>
            <a:t>Cash Flow </a:t>
          </a:r>
          <a:r>
            <a:rPr lang="en-US" sz="1200" b="0" i="0" u="none" strike="noStrike" baseline="0">
              <a:solidFill>
                <a:schemeClr val="dk1"/>
              </a:solidFill>
              <a:latin typeface="+mn-lt"/>
              <a:ea typeface="+mn-ea"/>
              <a:cs typeface="+mn-cs"/>
            </a:rPr>
            <a:t>section of th</a:t>
          </a:r>
          <a:r>
            <a:rPr lang="en-US" sz="1100" b="0" i="0" baseline="0">
              <a:solidFill>
                <a:schemeClr val="dk1"/>
              </a:solidFill>
              <a:effectLst/>
              <a:latin typeface="+mn-lt"/>
              <a:ea typeface="+mn-ea"/>
              <a:cs typeface="+mn-cs"/>
            </a:rPr>
            <a:t>e model.</a:t>
          </a:r>
          <a:endParaRPr lang="en-US" sz="1200">
            <a:effectLst/>
          </a:endParaRPr>
        </a:p>
        <a:p>
          <a:endParaRPr lang="en-US" sz="1200" b="0" i="0" u="none" strike="noStrike" baseline="0">
            <a:solidFill>
              <a:schemeClr val="dk1"/>
            </a:solidFill>
            <a:latin typeface="+mn-lt"/>
            <a:ea typeface="+mn-ea"/>
            <a:cs typeface="+mn-cs"/>
          </a:endParaRPr>
        </a:p>
        <a:p>
          <a:r>
            <a:rPr lang="en-US" sz="1200" b="0" i="0" u="none" strike="noStrike" baseline="0">
              <a:solidFill>
                <a:schemeClr val="dk1"/>
              </a:solidFill>
              <a:latin typeface="+mn-lt"/>
              <a:ea typeface="+mn-ea"/>
              <a:cs typeface="+mn-cs"/>
            </a:rPr>
            <a:t>Cumulative return every year is calculated in Row 15. The cashflow at the beginning of the project (Year 0) was the Net Cost  of the PV system. The values remain negative (red) for four years, before change to positive at year 5. This indicates that the PV system will generate enough energy savings in the first 5 years to recover the cost of the initial investment. Note that this result is based on the assumption that the customer is  successful in the REAP grant application (25% of the project costs) as a rural business owner. </a:t>
          </a:r>
        </a:p>
        <a:p>
          <a:endParaRPr lang="en-US" sz="1200" b="0" i="0" u="none" strike="noStrike" baseline="0">
            <a:solidFill>
              <a:schemeClr val="dk1"/>
            </a:solidFill>
            <a:latin typeface="+mn-lt"/>
            <a:ea typeface="+mn-ea"/>
            <a:cs typeface="+mn-cs"/>
          </a:endParaRPr>
        </a:p>
        <a:p>
          <a:r>
            <a:rPr lang="en-US" sz="1200" b="0" i="0" u="none" strike="noStrike" baseline="0">
              <a:solidFill>
                <a:schemeClr val="dk1"/>
              </a:solidFill>
              <a:latin typeface="+mn-lt"/>
              <a:ea typeface="+mn-ea"/>
              <a:cs typeface="+mn-cs"/>
            </a:rPr>
            <a:t>Annual Production (Cells C19 to AA19) is the multiplication of the SystemSize and the AnnualYield (Cell G17) in Tab "PVWattsDataInput". The system is predicted to lose production each year due to "</a:t>
          </a:r>
          <a:r>
            <a:rPr lang="en-US" sz="1100">
              <a:solidFill>
                <a:schemeClr val="dk1"/>
              </a:solidFill>
              <a:effectLst/>
              <a:latin typeface="+mn-lt"/>
              <a:ea typeface="+mn-ea"/>
              <a:cs typeface="+mn-cs"/>
            </a:rPr>
            <a:t>PV Module Degradation Rate" (Cell B12 in "SystemData").</a:t>
          </a:r>
        </a:p>
        <a:p>
          <a:r>
            <a:rPr lang="en-US" sz="1100">
              <a:solidFill>
                <a:schemeClr val="dk1"/>
              </a:solidFill>
              <a:effectLst/>
              <a:latin typeface="+mn-lt"/>
              <a:ea typeface="+mn-ea"/>
              <a:cs typeface="+mn-cs"/>
            </a:rPr>
            <a:t>Lifetime electricity production and lifetime</a:t>
          </a:r>
          <a:r>
            <a:rPr lang="en-US" sz="1100" baseline="0">
              <a:solidFill>
                <a:schemeClr val="dk1"/>
              </a:solidFill>
              <a:effectLst/>
              <a:latin typeface="+mn-lt"/>
              <a:ea typeface="+mn-ea"/>
              <a:cs typeface="+mn-cs"/>
            </a:rPr>
            <a:t> savings are calculated in Cell B20 and B21. </a:t>
          </a:r>
        </a:p>
        <a:p>
          <a:endParaRPr lang="en-US" sz="1100" baseline="0">
            <a:solidFill>
              <a:schemeClr val="dk1"/>
            </a:solidFill>
            <a:effectLst/>
            <a:latin typeface="+mn-lt"/>
            <a:ea typeface="+mn-ea"/>
            <a:cs typeface="+mn-cs"/>
          </a:endParaRPr>
        </a:p>
        <a:p>
          <a:endParaRPr lang="en-US" sz="1200"/>
        </a:p>
      </xdr:txBody>
    </xdr:sp>
    <xdr:clientData/>
  </xdr:twoCellAnchor>
  <xdr:twoCellAnchor>
    <xdr:from>
      <xdr:col>3</xdr:col>
      <xdr:colOff>295275</xdr:colOff>
      <xdr:row>2</xdr:row>
      <xdr:rowOff>47625</xdr:rowOff>
    </xdr:from>
    <xdr:to>
      <xdr:col>22</xdr:col>
      <xdr:colOff>352425</xdr:colOff>
      <xdr:row>7</xdr:row>
      <xdr:rowOff>171450</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3667125" y="485775"/>
          <a:ext cx="11172825"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O&amp;M costs vary a lot, but include an inverter replacement at 15 years, general maintenance, insurance, property taxes, legal and administrative fees,</a:t>
          </a:r>
          <a:r>
            <a:rPr lang="en-US" sz="1100" baseline="0"/>
            <a:t> etc. In this tab, the inverter replacement is under the "equipment costs", based on an estimate in a SunShot Vision Study (DOE, 2012, see Tab "References"). The other O&amp;M are calculated based on Table 4-1 of the same report (DOE, 20</a:t>
          </a:r>
          <a:r>
            <a:rPr lang="en-US" sz="1100" baseline="0">
              <a:solidFill>
                <a:schemeClr val="dk1"/>
              </a:solidFill>
              <a:effectLst/>
              <a:latin typeface="+mn-lt"/>
              <a:ea typeface="+mn-ea"/>
              <a:cs typeface="+mn-cs"/>
            </a:rPr>
            <a:t>12). </a:t>
          </a:r>
          <a:endParaRPr lang="en-US" sz="1100" baseline="0"/>
        </a:p>
        <a:p>
          <a:r>
            <a:rPr lang="en-US" sz="1100" b="1">
              <a:solidFill>
                <a:schemeClr val="dk1"/>
              </a:solidFill>
              <a:effectLst/>
              <a:latin typeface="+mn-lt"/>
              <a:ea typeface="+mn-ea"/>
              <a:cs typeface="+mn-cs"/>
            </a:rPr>
            <a:t>Depreciation</a:t>
          </a:r>
          <a:r>
            <a:rPr lang="en-US" sz="1100">
              <a:solidFill>
                <a:schemeClr val="dk1"/>
              </a:solidFill>
              <a:effectLst/>
              <a:latin typeface="+mn-lt"/>
              <a:ea typeface="+mn-ea"/>
              <a:cs typeface="+mn-cs"/>
            </a:rPr>
            <a:t> is an income tax deduction that allows a taxpayer (as a business owner) to recover the cost or other basis of certain tangible property. Qualifying solar energy equipment is eligible for a cost recovery period of five years under the Modified Accelerated Cost Recovery System (MACRS) (see SEIA website in Tab "References").   </a:t>
          </a:r>
          <a:endParaRPr lang="en-US">
            <a:effectLst/>
          </a:endParaRPr>
        </a:p>
        <a:p>
          <a:r>
            <a:rPr lang="en-US" sz="1100">
              <a:solidFill>
                <a:schemeClr val="dk1"/>
              </a:solidFill>
              <a:effectLst/>
              <a:latin typeface="+mn-lt"/>
              <a:ea typeface="+mn-ea"/>
              <a:cs typeface="+mn-cs"/>
            </a:rPr>
            <a:t>The capital</a:t>
          </a:r>
          <a:r>
            <a:rPr lang="en-US" sz="1100" baseline="0">
              <a:solidFill>
                <a:schemeClr val="dk1"/>
              </a:solidFill>
              <a:effectLst/>
              <a:latin typeface="+mn-lt"/>
              <a:ea typeface="+mn-ea"/>
              <a:cs typeface="+mn-cs"/>
            </a:rPr>
            <a:t> investment and</a:t>
          </a:r>
          <a:r>
            <a:rPr lang="en-US" sz="1100">
              <a:solidFill>
                <a:schemeClr val="dk1"/>
              </a:solidFill>
              <a:effectLst/>
              <a:latin typeface="+mn-lt"/>
              <a:ea typeface="+mn-ea"/>
              <a:cs typeface="+mn-cs"/>
            </a:rPr>
            <a:t> tax situations are different for different business owners. Make sure to discuss your project with a qualified tax professional to identify potential alternative depreciation options.  This simplified and conservative calculation does not include depreciation.</a:t>
          </a:r>
          <a:endParaRPr lang="en-US">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314324</xdr:colOff>
      <xdr:row>16</xdr:row>
      <xdr:rowOff>85724</xdr:rowOff>
    </xdr:to>
    <xdr:graphicFrame macro="">
      <xdr:nvGraphicFramePr>
        <xdr:cNvPr id="2" name="Chart 1" descr="PV System Cumulative Cash Flow Chart. Y axis shows cash flow is dollar amount. X axis shows years chronologically. The first year shows a negative of $200,000 the second year is about $180,00. 3rd year is $150,00. Fourth year is $110,00, fifth year % 100,00, 6th year is 60,000 7th year is 40,000, 8th year, 10,000, 9th year shows profit of 1,000. Significant cash flow starts at 11th year and increases to $150,000 by the 14th year. By the 26th year cash flow has reached $500,000.">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19</xdr:col>
      <xdr:colOff>133351</xdr:colOff>
      <xdr:row>10</xdr:row>
      <xdr:rowOff>142875</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5486400" y="190500"/>
          <a:ext cx="6229351" cy="185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Cumulative Cash Flow chart</a:t>
          </a:r>
        </a:p>
        <a:p>
          <a:r>
            <a:rPr lang="en-US" sz="1100"/>
            <a:t>Plotted</a:t>
          </a:r>
          <a:r>
            <a:rPr lang="en-US" sz="1100" baseline="0"/>
            <a:t> of the Row of cumulative returns/cash flow (Row 15 of the "CashFlow" tab) as y-axis, and year (Row 16) as x-axis of the "CashFlow" Tab. </a:t>
          </a:r>
        </a:p>
        <a:p>
          <a:r>
            <a:rPr lang="en-US" sz="1100" baseline="0"/>
            <a:t>The value of the first year's cash flow reflects the net cost of the project. As annual on-site electricity production offsets consumption from the utility, the cashflow becomes positive several years after the onset of the system service.   From that point on, cash flow maintain positive. </a:t>
          </a:r>
        </a:p>
        <a:p>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371475</xdr:colOff>
      <xdr:row>1</xdr:row>
      <xdr:rowOff>57151</xdr:rowOff>
    </xdr:from>
    <xdr:to>
      <xdr:col>17</xdr:col>
      <xdr:colOff>304800</xdr:colOff>
      <xdr:row>11</xdr:row>
      <xdr:rowOff>28575</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371475" y="247651"/>
          <a:ext cx="10134600" cy="1876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References used in the calculator:</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PVWatt Calculator. https://pvwatts.nrel.gov/</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Jordan, D.C. et al., Compendium of photovoltaic degradation rates. Progress in Photovoltaics:  Res Appl. 24:978-989</a:t>
          </a:r>
          <a:r>
            <a:rPr lang="en-US" sz="1100" b="0" i="0" baseline="0">
              <a:solidFill>
                <a:schemeClr val="dk1"/>
              </a:solidFill>
              <a:effectLst/>
              <a:latin typeface="+mn-lt"/>
              <a:ea typeface="+mn-ea"/>
              <a:cs typeface="+mn-cs"/>
            </a:rPr>
            <a:t> (https://onlinelibrary.wiley.com/doi/epdf/10.1002/pip.2744)</a:t>
          </a:r>
          <a:endParaRPr lang="en-US"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Depreciation of Solar Energy Property in MACRS. https://www.seia.org/initiatives/depreciation-solar-energy-property-macrs</a:t>
          </a:r>
          <a:endParaRPr lang="en-US" sz="1100"/>
        </a:p>
        <a:p>
          <a:endParaRPr lang="en-US" sz="1100"/>
        </a:p>
        <a:p>
          <a:r>
            <a:rPr lang="en-US" sz="1100"/>
            <a:t>US Department of Energy,2012. SunShot vision study: Feb.</a:t>
          </a:r>
          <a:r>
            <a:rPr lang="en-US" sz="1100" baseline="0"/>
            <a:t> 2012. NREL Report No. BK5200-47927 (https://www.energy.gov/sites/prod/files/2014/01/f7/47927.pdf).</a:t>
          </a:r>
        </a:p>
        <a:p>
          <a:endParaRPr lang="en-US" sz="1100" baseline="0"/>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zoomScale="90" zoomScaleNormal="90" workbookViewId="0">
      <selection activeCell="M18" sqref="M18"/>
    </sheetView>
  </sheetViews>
  <sheetFormatPr defaultRowHeight="14.5" x14ac:dyDescent="0.35"/>
  <sheetData>
    <row r="1" spans="1:1" ht="19.5" customHeight="1" x14ac:dyDescent="0.35">
      <c r="A1" t="s">
        <v>84</v>
      </c>
    </row>
    <row r="2" spans="1:1" ht="19.5" customHeight="1" x14ac:dyDescent="0.35">
      <c r="A2" t="s">
        <v>87</v>
      </c>
    </row>
    <row r="3" spans="1:1" ht="19.5" customHeight="1" x14ac:dyDescent="0.35">
      <c r="A3" t="s">
        <v>81</v>
      </c>
    </row>
    <row r="4" spans="1:1" ht="19.5" customHeight="1" x14ac:dyDescent="0.35">
      <c r="A4" t="s">
        <v>85</v>
      </c>
    </row>
    <row r="5" spans="1:1" ht="19.5" customHeight="1" x14ac:dyDescent="0.35">
      <c r="A5" t="s">
        <v>82</v>
      </c>
    </row>
    <row r="6" spans="1:1" ht="19.5" customHeight="1" x14ac:dyDescent="0.35">
      <c r="A6" t="s">
        <v>83</v>
      </c>
    </row>
    <row r="7" spans="1:1" ht="19.5" customHeight="1" x14ac:dyDescent="0.35">
      <c r="A7" t="s">
        <v>86</v>
      </c>
    </row>
    <row r="8" spans="1:1" ht="18.75" customHeight="1" x14ac:dyDescent="0.35"/>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G32" sqref="G32"/>
    </sheetView>
  </sheetViews>
  <sheetFormatPr defaultRowHeight="14.5" x14ac:dyDescent="0.35"/>
  <cols>
    <col min="1" max="1" width="6.7265625" customWidth="1"/>
    <col min="2" max="2" width="9.179687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2"/>
  <sheetViews>
    <sheetView workbookViewId="0">
      <selection activeCell="M16" sqref="M16"/>
    </sheetView>
  </sheetViews>
  <sheetFormatPr defaultColWidth="8.7265625" defaultRowHeight="14" x14ac:dyDescent="0.3"/>
  <cols>
    <col min="1" max="1" width="28.81640625" style="2" customWidth="1"/>
    <col min="2" max="2" width="9.81640625" style="3" customWidth="1"/>
    <col min="3" max="16384" width="8.7265625" style="3"/>
  </cols>
  <sheetData>
    <row r="1" spans="1:4" x14ac:dyDescent="0.3">
      <c r="A1" s="59" t="s">
        <v>75</v>
      </c>
      <c r="B1" s="59"/>
      <c r="C1" s="59"/>
      <c r="D1" s="59"/>
    </row>
    <row r="2" spans="1:4" x14ac:dyDescent="0.3">
      <c r="B2" s="3" t="s">
        <v>0</v>
      </c>
    </row>
    <row r="3" spans="1:4" ht="20.149999999999999" customHeight="1" x14ac:dyDescent="0.3">
      <c r="A3" s="2" t="s">
        <v>1</v>
      </c>
      <c r="B3" s="49">
        <v>1.55</v>
      </c>
      <c r="C3" s="3" t="s">
        <v>10</v>
      </c>
    </row>
    <row r="4" spans="1:4" ht="20.149999999999999" customHeight="1" x14ac:dyDescent="0.3">
      <c r="A4" s="2" t="s">
        <v>2</v>
      </c>
      <c r="B4" s="50">
        <v>180</v>
      </c>
      <c r="C4" s="3" t="s">
        <v>9</v>
      </c>
    </row>
    <row r="5" spans="1:4" ht="20.149999999999999" customHeight="1" x14ac:dyDescent="0.3">
      <c r="A5" s="2" t="s">
        <v>3</v>
      </c>
      <c r="B5" s="7"/>
      <c r="C5" s="7" t="s">
        <v>26</v>
      </c>
    </row>
    <row r="6" spans="1:4" ht="20.149999999999999" customHeight="1" x14ac:dyDescent="0.3">
      <c r="A6" s="2" t="s">
        <v>4</v>
      </c>
      <c r="B6" s="8" t="s">
        <v>64</v>
      </c>
      <c r="C6" s="9"/>
    </row>
    <row r="7" spans="1:4" ht="20.149999999999999" customHeight="1" x14ac:dyDescent="0.3">
      <c r="A7" s="2" t="s">
        <v>5</v>
      </c>
      <c r="B7" s="51">
        <v>25</v>
      </c>
      <c r="C7" s="3" t="s">
        <v>11</v>
      </c>
    </row>
    <row r="8" spans="1:4" ht="20.149999999999999" customHeight="1" x14ac:dyDescent="0.3">
      <c r="A8" s="2" t="s">
        <v>6</v>
      </c>
      <c r="B8" s="51">
        <v>180</v>
      </c>
      <c r="C8" s="3" t="s">
        <v>11</v>
      </c>
    </row>
    <row r="9" spans="1:4" ht="20.149999999999999" customHeight="1" x14ac:dyDescent="0.3">
      <c r="A9" s="2" t="s">
        <v>7</v>
      </c>
      <c r="B9" s="52">
        <v>25</v>
      </c>
      <c r="C9" s="3" t="s">
        <v>12</v>
      </c>
    </row>
    <row r="10" spans="1:4" ht="20.149999999999999" customHeight="1" x14ac:dyDescent="0.3">
      <c r="A10" s="2" t="s">
        <v>8</v>
      </c>
      <c r="B10" s="53">
        <v>3.0000000000000001E-3</v>
      </c>
      <c r="C10" s="3" t="s">
        <v>13</v>
      </c>
    </row>
    <row r="12" spans="1:4" x14ac:dyDescent="0.3">
      <c r="B12" s="23"/>
    </row>
  </sheetData>
  <mergeCells count="1">
    <mergeCell ref="A1:D1"/>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8"/>
  <sheetViews>
    <sheetView workbookViewId="0">
      <selection activeCell="F14" sqref="F14"/>
    </sheetView>
  </sheetViews>
  <sheetFormatPr defaultRowHeight="14.5" x14ac:dyDescent="0.35"/>
  <cols>
    <col min="1" max="1" width="24.26953125" customWidth="1"/>
    <col min="2" max="2" width="10.54296875" bestFit="1" customWidth="1"/>
    <col min="4" max="4" width="5.1796875" customWidth="1"/>
  </cols>
  <sheetData>
    <row r="1" spans="1:7" x14ac:dyDescent="0.35">
      <c r="B1" s="10" t="s">
        <v>77</v>
      </c>
    </row>
    <row r="2" spans="1:7" ht="21" customHeight="1" x14ac:dyDescent="0.35">
      <c r="A2" t="s">
        <v>14</v>
      </c>
      <c r="B2" s="4" t="s">
        <v>26</v>
      </c>
    </row>
    <row r="3" spans="1:7" ht="21" customHeight="1" x14ac:dyDescent="0.35">
      <c r="A3" s="11" t="s">
        <v>78</v>
      </c>
      <c r="B3" s="41">
        <v>1450</v>
      </c>
      <c r="C3" t="s">
        <v>79</v>
      </c>
    </row>
    <row r="4" spans="1:7" ht="21" customHeight="1" x14ac:dyDescent="0.35">
      <c r="A4" t="s">
        <v>80</v>
      </c>
      <c r="B4" s="54">
        <f>B3*B7*ElectricityRate</f>
        <v>26100</v>
      </c>
      <c r="G4" s="27"/>
    </row>
    <row r="5" spans="1:7" ht="21" customHeight="1" x14ac:dyDescent="0.35">
      <c r="B5" s="55"/>
    </row>
    <row r="6" spans="1:7" ht="21" customHeight="1" x14ac:dyDescent="0.35">
      <c r="B6" s="57" t="s">
        <v>15</v>
      </c>
    </row>
    <row r="7" spans="1:7" ht="21" customHeight="1" x14ac:dyDescent="0.35">
      <c r="A7" t="s">
        <v>16</v>
      </c>
      <c r="B7" s="41">
        <f>SystemSize</f>
        <v>180</v>
      </c>
      <c r="C7" t="s">
        <v>21</v>
      </c>
    </row>
    <row r="8" spans="1:7" ht="21" customHeight="1" x14ac:dyDescent="0.35">
      <c r="A8" t="s">
        <v>17</v>
      </c>
      <c r="B8" s="41">
        <v>1.2</v>
      </c>
    </row>
    <row r="9" spans="1:7" ht="21" customHeight="1" x14ac:dyDescent="0.35">
      <c r="A9" t="s">
        <v>18</v>
      </c>
      <c r="B9" s="56">
        <f>B7/B8</f>
        <v>150</v>
      </c>
      <c r="C9" t="s">
        <v>21</v>
      </c>
    </row>
    <row r="10" spans="1:7" ht="21" customHeight="1" x14ac:dyDescent="0.35">
      <c r="A10" t="s">
        <v>19</v>
      </c>
      <c r="B10" s="5" t="s">
        <v>64</v>
      </c>
      <c r="C10" s="6"/>
    </row>
    <row r="11" spans="1:7" ht="21" customHeight="1" x14ac:dyDescent="0.35">
      <c r="A11" t="s">
        <v>22</v>
      </c>
      <c r="B11" s="58">
        <v>25</v>
      </c>
      <c r="C11" t="s">
        <v>11</v>
      </c>
    </row>
    <row r="12" spans="1:7" ht="21" customHeight="1" x14ac:dyDescent="0.35">
      <c r="A12" t="s">
        <v>20</v>
      </c>
      <c r="B12" s="41">
        <v>180</v>
      </c>
      <c r="C12" t="s">
        <v>11</v>
      </c>
    </row>
    <row r="13" spans="1:7" ht="21" customHeight="1" x14ac:dyDescent="0.35">
      <c r="B13" s="40"/>
    </row>
    <row r="14" spans="1:7" ht="21" customHeight="1" x14ac:dyDescent="0.35">
      <c r="B14" t="s">
        <v>23</v>
      </c>
    </row>
    <row r="15" spans="1:7" ht="21" customHeight="1" x14ac:dyDescent="0.35">
      <c r="A15" t="s">
        <v>24</v>
      </c>
      <c r="B15" s="45">
        <f>UtilityRateInputs!B2</f>
        <v>0.1</v>
      </c>
      <c r="C15" t="s">
        <v>25</v>
      </c>
    </row>
    <row r="16" spans="1:7" ht="20.149999999999999" customHeight="1" x14ac:dyDescent="0.35"/>
    <row r="17" ht="34.5" customHeight="1" x14ac:dyDescent="0.35"/>
    <row r="18" ht="42.75" customHeight="1" x14ac:dyDescent="0.35"/>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
  <sheetViews>
    <sheetView workbookViewId="0">
      <selection activeCell="C11" sqref="C11"/>
    </sheetView>
  </sheetViews>
  <sheetFormatPr defaultRowHeight="14.5" x14ac:dyDescent="0.35"/>
  <cols>
    <col min="1" max="1" width="31.1796875" style="1" customWidth="1"/>
  </cols>
  <sheetData>
    <row r="1" spans="1:3" x14ac:dyDescent="0.35">
      <c r="B1" s="26" t="s">
        <v>31</v>
      </c>
    </row>
    <row r="2" spans="1:3" ht="20.5" customHeight="1" x14ac:dyDescent="0.35">
      <c r="A2" s="25" t="s">
        <v>65</v>
      </c>
      <c r="B2" s="48">
        <v>0.1</v>
      </c>
      <c r="C2" t="s">
        <v>25</v>
      </c>
    </row>
    <row r="3" spans="1:3" ht="20.5" customHeight="1" x14ac:dyDescent="0.35">
      <c r="A3" s="25" t="s">
        <v>28</v>
      </c>
      <c r="B3" s="41" t="s">
        <v>32</v>
      </c>
    </row>
    <row r="4" spans="1:3" ht="20.5" customHeight="1" x14ac:dyDescent="0.35">
      <c r="A4" s="25" t="s">
        <v>29</v>
      </c>
      <c r="B4" s="41">
        <f>B2</f>
        <v>0.1</v>
      </c>
      <c r="C4" t="s">
        <v>25</v>
      </c>
    </row>
    <row r="5" spans="1:3" ht="20.5" customHeight="1" x14ac:dyDescent="0.35">
      <c r="A5" s="25" t="s">
        <v>30</v>
      </c>
      <c r="B5" s="44">
        <v>0.02</v>
      </c>
      <c r="C5" t="s">
        <v>13</v>
      </c>
    </row>
    <row r="6" spans="1:3" ht="20.5" customHeight="1" x14ac:dyDescent="0.3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9"/>
  <sheetViews>
    <sheetView workbookViewId="0">
      <selection activeCell="B2" sqref="B2:B7"/>
    </sheetView>
  </sheetViews>
  <sheetFormatPr defaultRowHeight="14.5" x14ac:dyDescent="0.35"/>
  <cols>
    <col min="1" max="1" width="31" customWidth="1"/>
  </cols>
  <sheetData>
    <row r="1" spans="1:3" ht="20.149999999999999" customHeight="1" x14ac:dyDescent="0.35">
      <c r="A1" t="s">
        <v>33</v>
      </c>
    </row>
    <row r="2" spans="1:3" ht="20.149999999999999" customHeight="1" x14ac:dyDescent="0.35">
      <c r="A2" t="s">
        <v>67</v>
      </c>
      <c r="B2" s="44">
        <v>0.26</v>
      </c>
      <c r="C2" t="s">
        <v>66</v>
      </c>
    </row>
    <row r="3" spans="1:3" ht="20.149999999999999" customHeight="1" x14ac:dyDescent="0.35">
      <c r="A3" t="s">
        <v>34</v>
      </c>
      <c r="B3" s="45"/>
    </row>
    <row r="4" spans="1:3" ht="20.149999999999999" customHeight="1" x14ac:dyDescent="0.35">
      <c r="A4" t="s">
        <v>37</v>
      </c>
      <c r="B4" s="44">
        <v>0.25</v>
      </c>
    </row>
    <row r="5" spans="1:3" ht="20.149999999999999" customHeight="1" x14ac:dyDescent="0.35">
      <c r="A5" t="s">
        <v>35</v>
      </c>
      <c r="B5" s="46">
        <v>5.8999999999999997E-2</v>
      </c>
    </row>
    <row r="6" spans="1:3" ht="20.149999999999999" customHeight="1" x14ac:dyDescent="0.35">
      <c r="B6" s="47"/>
    </row>
    <row r="7" spans="1:3" ht="20.149999999999999" customHeight="1" x14ac:dyDescent="0.35">
      <c r="A7" t="s">
        <v>36</v>
      </c>
      <c r="B7" s="44">
        <v>0.05</v>
      </c>
    </row>
    <row r="8" spans="1:3" ht="20.149999999999999" customHeight="1" x14ac:dyDescent="0.35"/>
    <row r="9" spans="1:3" ht="20.149999999999999" customHeight="1" x14ac:dyDescent="0.3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1"/>
  <sheetViews>
    <sheetView workbookViewId="0">
      <selection activeCell="H10" sqref="H10"/>
    </sheetView>
  </sheetViews>
  <sheetFormatPr defaultRowHeight="14.5" x14ac:dyDescent="0.35"/>
  <cols>
    <col min="1" max="1" width="33.453125" style="1" customWidth="1"/>
    <col min="2" max="2" width="12.7265625" bestFit="1" customWidth="1"/>
    <col min="3" max="3" width="10.453125" bestFit="1" customWidth="1"/>
  </cols>
  <sheetData>
    <row r="1" spans="1:3" ht="20.5" customHeight="1" x14ac:dyDescent="0.35">
      <c r="A1" s="12" t="s">
        <v>38</v>
      </c>
    </row>
    <row r="2" spans="1:3" ht="20.5" customHeight="1" x14ac:dyDescent="0.35">
      <c r="A2" s="1" t="s">
        <v>68</v>
      </c>
      <c r="B2" s="14">
        <f>-SystemData!B3*1000*SystemData!B4</f>
        <v>-279000</v>
      </c>
    </row>
    <row r="3" spans="1:3" ht="20.5" customHeight="1" x14ac:dyDescent="0.35">
      <c r="A3" s="1" t="s">
        <v>69</v>
      </c>
      <c r="B3" s="31">
        <f>IF(C3="Y",-B2*0.25, 0)</f>
        <v>0</v>
      </c>
      <c r="C3" s="37" t="s">
        <v>76</v>
      </c>
    </row>
    <row r="4" spans="1:3" ht="20.5" customHeight="1" x14ac:dyDescent="0.35">
      <c r="A4" s="1" t="s">
        <v>40</v>
      </c>
      <c r="B4" s="13">
        <v>0</v>
      </c>
    </row>
    <row r="5" spans="1:3" ht="20.5" customHeight="1" x14ac:dyDescent="0.35">
      <c r="A5" s="1" t="s">
        <v>41</v>
      </c>
      <c r="B5" s="15">
        <f>B2+B3+B4</f>
        <v>-279000</v>
      </c>
    </row>
    <row r="6" spans="1:3" ht="20.5" customHeight="1" x14ac:dyDescent="0.35">
      <c r="A6" s="1" t="s">
        <v>42</v>
      </c>
      <c r="B6" s="15">
        <f>-B2*TaxRate!B2</f>
        <v>72540</v>
      </c>
    </row>
    <row r="7" spans="1:3" ht="20.5" customHeight="1" x14ac:dyDescent="0.35">
      <c r="A7" s="1" t="s">
        <v>43</v>
      </c>
      <c r="B7" s="15">
        <f>B5*TaxRate!B3</f>
        <v>0</v>
      </c>
    </row>
    <row r="8" spans="1:3" ht="20.5" customHeight="1" x14ac:dyDescent="0.35">
      <c r="A8" s="1" t="s">
        <v>44</v>
      </c>
      <c r="B8">
        <v>0</v>
      </c>
    </row>
    <row r="9" spans="1:3" ht="20.5" customHeight="1" x14ac:dyDescent="0.35">
      <c r="A9" s="1" t="s">
        <v>45</v>
      </c>
      <c r="B9" s="15">
        <f>B5+B6</f>
        <v>-206460</v>
      </c>
      <c r="C9" s="39">
        <f>B9*0.005</f>
        <v>-1032.3</v>
      </c>
    </row>
    <row r="10" spans="1:3" ht="20.5" customHeight="1" x14ac:dyDescent="0.35"/>
    <row r="11" spans="1:3" x14ac:dyDescent="0.35">
      <c r="A11" s="60" t="s">
        <v>59</v>
      </c>
      <c r="B11" s="61"/>
      <c r="C11" s="61"/>
    </row>
  </sheetData>
  <mergeCells count="1">
    <mergeCell ref="A11:C11"/>
  </mergeCells>
  <conditionalFormatting sqref="B2">
    <cfRule type="cellIs" dxfId="5" priority="1" operator="lessThan">
      <formula>0</formula>
    </cfRule>
    <cfRule type="cellIs" dxfId="4" priority="2" operator="lessThan">
      <formula>0</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34"/>
  <sheetViews>
    <sheetView zoomScale="90" zoomScaleNormal="90" workbookViewId="0">
      <selection activeCell="C18" sqref="C18"/>
    </sheetView>
  </sheetViews>
  <sheetFormatPr defaultRowHeight="14.5" x14ac:dyDescent="0.35"/>
  <cols>
    <col min="1" max="1" width="29.26953125" customWidth="1"/>
    <col min="2" max="2" width="11.7265625" customWidth="1"/>
    <col min="3" max="3" width="11.1796875" customWidth="1"/>
    <col min="4" max="6" width="9.453125" customWidth="1"/>
    <col min="7" max="7" width="9.54296875" customWidth="1"/>
    <col min="8" max="9" width="8.54296875" customWidth="1"/>
    <col min="10" max="13" width="9.453125" customWidth="1"/>
    <col min="14" max="17" width="7.453125" customWidth="1"/>
    <col min="18" max="18" width="8.54296875" customWidth="1"/>
    <col min="19" max="19" width="8.26953125" customWidth="1"/>
  </cols>
  <sheetData>
    <row r="1" spans="1:27" x14ac:dyDescent="0.35">
      <c r="A1" t="s">
        <v>46</v>
      </c>
    </row>
    <row r="2" spans="1:27" ht="20.149999999999999" customHeight="1" x14ac:dyDescent="0.35">
      <c r="A2" s="1" t="s">
        <v>27</v>
      </c>
      <c r="B2">
        <v>1</v>
      </c>
      <c r="C2">
        <v>2</v>
      </c>
      <c r="D2">
        <v>3</v>
      </c>
      <c r="E2">
        <v>4</v>
      </c>
      <c r="F2">
        <v>5</v>
      </c>
      <c r="G2">
        <v>6</v>
      </c>
      <c r="H2">
        <v>7</v>
      </c>
      <c r="I2">
        <v>8</v>
      </c>
      <c r="J2">
        <v>9</v>
      </c>
      <c r="K2">
        <v>10</v>
      </c>
      <c r="L2">
        <v>11</v>
      </c>
      <c r="M2">
        <v>12</v>
      </c>
      <c r="N2">
        <v>13</v>
      </c>
      <c r="O2">
        <v>14</v>
      </c>
      <c r="P2">
        <v>15</v>
      </c>
      <c r="Q2">
        <v>16</v>
      </c>
      <c r="R2">
        <v>17</v>
      </c>
      <c r="S2">
        <v>18</v>
      </c>
      <c r="T2">
        <v>19</v>
      </c>
      <c r="U2">
        <v>20</v>
      </c>
      <c r="V2">
        <v>21</v>
      </c>
      <c r="W2">
        <v>22</v>
      </c>
      <c r="X2">
        <v>23</v>
      </c>
      <c r="Y2">
        <v>24</v>
      </c>
      <c r="Z2">
        <v>25</v>
      </c>
      <c r="AA2">
        <v>26</v>
      </c>
    </row>
    <row r="3" spans="1:27" ht="20.149999999999999" customHeight="1" x14ac:dyDescent="0.35">
      <c r="A3" s="1" t="s">
        <v>47</v>
      </c>
      <c r="B3" s="22">
        <f>PVSystemCosts!B2</f>
        <v>-279000</v>
      </c>
    </row>
    <row r="4" spans="1:27" ht="20.149999999999999" customHeight="1" x14ac:dyDescent="0.35">
      <c r="A4" s="1" t="s">
        <v>39</v>
      </c>
      <c r="B4" s="16">
        <f>PVSystemCosts!B3</f>
        <v>0</v>
      </c>
    </row>
    <row r="5" spans="1:27" ht="20.149999999999999" customHeight="1" x14ac:dyDescent="0.35">
      <c r="A5" s="1" t="s">
        <v>48</v>
      </c>
      <c r="B5" s="16">
        <f>PVSystemCosts!B4</f>
        <v>0</v>
      </c>
    </row>
    <row r="6" spans="1:27" ht="20.149999999999999" customHeight="1" x14ac:dyDescent="0.35">
      <c r="A6" s="1" t="s">
        <v>42</v>
      </c>
      <c r="B6" s="16">
        <f>PVSystemCosts!B6</f>
        <v>72540</v>
      </c>
    </row>
    <row r="7" spans="1:27" ht="20.149999999999999" customHeight="1" x14ac:dyDescent="0.35">
      <c r="A7" s="1" t="s">
        <v>43</v>
      </c>
      <c r="B7" s="16">
        <f>PVSystemCosts!B7</f>
        <v>0</v>
      </c>
    </row>
    <row r="8" spans="1:27" ht="20.149999999999999" customHeight="1" x14ac:dyDescent="0.35">
      <c r="A8" s="1" t="s">
        <v>45</v>
      </c>
      <c r="B8" s="22">
        <f>PVSystemCosts!B9</f>
        <v>-206460</v>
      </c>
    </row>
    <row r="9" spans="1:27" ht="20.149999999999999" customHeight="1" x14ac:dyDescent="0.35">
      <c r="A9" s="1" t="s">
        <v>49</v>
      </c>
      <c r="B9" s="17"/>
      <c r="C9">
        <f>-7.5*SystemData!B4</f>
        <v>-1350</v>
      </c>
      <c r="D9">
        <f>C9*(1+0.02)</f>
        <v>-1377</v>
      </c>
      <c r="E9" s="30">
        <f t="shared" ref="E9:U9" si="0">D9*(1+0.02)</f>
        <v>-1404.54</v>
      </c>
      <c r="F9" s="30">
        <f t="shared" si="0"/>
        <v>-1432.6307999999999</v>
      </c>
      <c r="G9" s="30">
        <f t="shared" si="0"/>
        <v>-1461.283416</v>
      </c>
      <c r="H9" s="30">
        <f t="shared" si="0"/>
        <v>-1490.5090843200001</v>
      </c>
      <c r="I9" s="30">
        <f t="shared" si="0"/>
        <v>-1520.3192660064001</v>
      </c>
      <c r="J9" s="30">
        <f t="shared" si="0"/>
        <v>-1550.7256513265281</v>
      </c>
      <c r="K9" s="30">
        <f t="shared" si="0"/>
        <v>-1581.7401643530586</v>
      </c>
      <c r="L9" s="30">
        <f t="shared" si="0"/>
        <v>-1613.3749676401198</v>
      </c>
      <c r="M9" s="30">
        <f t="shared" si="0"/>
        <v>-1645.6424669929222</v>
      </c>
      <c r="N9" s="30">
        <f t="shared" si="0"/>
        <v>-1678.5553163327806</v>
      </c>
      <c r="O9" s="30">
        <f t="shared" si="0"/>
        <v>-1712.1264226594362</v>
      </c>
      <c r="P9" s="30">
        <f t="shared" si="0"/>
        <v>-1746.3689511126249</v>
      </c>
      <c r="Q9" s="30">
        <f t="shared" si="0"/>
        <v>-1781.2963301348775</v>
      </c>
      <c r="R9" s="30">
        <f t="shared" si="0"/>
        <v>-1816.922256737575</v>
      </c>
      <c r="S9" s="30">
        <f t="shared" si="0"/>
        <v>-1853.2607018723265</v>
      </c>
      <c r="T9" s="30">
        <f t="shared" si="0"/>
        <v>-1890.3259159097731</v>
      </c>
      <c r="U9" s="30">
        <f t="shared" si="0"/>
        <v>-1928.1324342279686</v>
      </c>
      <c r="V9" s="30">
        <f t="shared" ref="V9:AA9" si="1">U9*(1+0.02)</f>
        <v>-1966.6950829125281</v>
      </c>
      <c r="W9" s="30">
        <f t="shared" si="1"/>
        <v>-2006.0289845707787</v>
      </c>
      <c r="X9" s="30">
        <f t="shared" si="1"/>
        <v>-2046.1495642621942</v>
      </c>
      <c r="Y9" s="30">
        <f t="shared" si="1"/>
        <v>-2087.0725555474382</v>
      </c>
      <c r="Z9" s="30">
        <f t="shared" si="1"/>
        <v>-2128.8140066583869</v>
      </c>
      <c r="AA9" s="30">
        <f t="shared" si="1"/>
        <v>-2171.3902867915549</v>
      </c>
    </row>
    <row r="10" spans="1:27" ht="20.149999999999999" customHeight="1" x14ac:dyDescent="0.35">
      <c r="A10" s="1" t="s">
        <v>50</v>
      </c>
      <c r="B10" s="17"/>
      <c r="J10" s="22"/>
      <c r="L10" s="22"/>
      <c r="P10" s="28">
        <f>-(0.11*(SystemSize*1000)+3000*(SystemSize/15))</f>
        <v>-55800</v>
      </c>
    </row>
    <row r="11" spans="1:27" s="21" customFormat="1" ht="20.149999999999999" customHeight="1" x14ac:dyDescent="0.3">
      <c r="A11" s="18" t="s">
        <v>70</v>
      </c>
      <c r="B11" s="19"/>
      <c r="C11" s="20">
        <f>PVDataInput!B4</f>
        <v>26100</v>
      </c>
      <c r="D11" s="20">
        <f>(D18*UtilityRateInputs!$B$2)*(1+UtilityRateInputs!$B$5)^C2</f>
        <v>26991.757749960005</v>
      </c>
      <c r="E11" s="20">
        <f>(E18*UtilityRateInputs!$B$2)*(1+UtilityRateInputs!$B$5)^D2</f>
        <v>27448.998126244322</v>
      </c>
      <c r="F11" s="20">
        <f>(F18*UtilityRateInputs!$B$2)*(1+UtilityRateInputs!$B$5)^E2</f>
        <v>27913.984154502905</v>
      </c>
      <c r="G11" s="20">
        <f>(G18*UtilityRateInputs!$B$2)*(1+UtilityRateInputs!$B$5)^F2</f>
        <v>28386.84704608018</v>
      </c>
      <c r="H11" s="20">
        <f>(H18*UtilityRateInputs!$B$2)*(1+UtilityRateInputs!$B$5)^G2</f>
        <v>28867.720235040782</v>
      </c>
      <c r="I11" s="20">
        <f>(I18*UtilityRateInputs!$B$2)*(1+UtilityRateInputs!$B$5)^H2</f>
        <v>29356.739415822369</v>
      </c>
      <c r="J11" s="20">
        <f>(J18*UtilityRateInputs!$B$2)*(1+UtilityRateInputs!$B$5)^I2</f>
        <v>29854.042581526403</v>
      </c>
      <c r="K11" s="20">
        <f>(K18*UtilityRateInputs!$B$2)*(1+UtilityRateInputs!$B$5)^J2</f>
        <v>30359.770062857457</v>
      </c>
      <c r="L11" s="20">
        <f>(L18*UtilityRateInputs!$B$2)*(1+UtilityRateInputs!$B$5)^K2</f>
        <v>30874.064567722271</v>
      </c>
      <c r="M11" s="20">
        <f>(M18*UtilityRateInputs!$B$2)*(1+UtilityRateInputs!$B$5)^L2</f>
        <v>31397.071221499475</v>
      </c>
      <c r="N11" s="20">
        <f>(N18*UtilityRateInputs!$B$2)*(1+UtilityRateInputs!$B$5)^M2</f>
        <v>31928.93760799168</v>
      </c>
      <c r="O11" s="20">
        <f>(O18*UtilityRateInputs!$B$2)*(1+UtilityRateInputs!$B$5)^N2</f>
        <v>32469.813811071053</v>
      </c>
      <c r="P11" s="20">
        <f>(P18*UtilityRateInputs!$B$2)*(1+UtilityRateInputs!$B$5)^O2</f>
        <v>33019.852457030611</v>
      </c>
      <c r="Q11" s="20">
        <f>(Q18*UtilityRateInputs!$B$2)*(1+UtilityRateInputs!$B$5)^P2</f>
        <v>33579.208757652697</v>
      </c>
      <c r="R11" s="20">
        <f>(R18*UtilityRateInputs!$B$2)*(1+UtilityRateInputs!$B$5)^Q2</f>
        <v>34148.040554007341</v>
      </c>
      <c r="S11" s="20">
        <f>(S18*UtilityRateInputs!$B$2)*(1+UtilityRateInputs!$B$5)^R2</f>
        <v>34726.508360992229</v>
      </c>
      <c r="T11" s="20">
        <f>(T18*UtilityRateInputs!$B$2)*(1+UtilityRateInputs!$B$5)^S2</f>
        <v>35314.775412627438</v>
      </c>
      <c r="U11" s="20">
        <f>(U18*UtilityRateInputs!$B$2)*(1+UtilityRateInputs!$B$5)^T2</f>
        <v>35913.007708117337</v>
      </c>
      <c r="V11" s="20">
        <f>(V18*UtilityRateInputs!$B$2)*(1+UtilityRateInputs!$B$5)^U2</f>
        <v>36521.374058692854</v>
      </c>
      <c r="W11" s="20">
        <f>(W18*UtilityRateInputs!$B$2)*(1+UtilityRateInputs!$B$5)^V2</f>
        <v>37140.046135247103</v>
      </c>
      <c r="X11" s="20">
        <f>(X18*UtilityRateInputs!$B$2)*(1+UtilityRateInputs!$B$5)^W2</f>
        <v>37769.198516778197</v>
      </c>
      <c r="Y11" s="20">
        <f>(Y18*UtilityRateInputs!$B$2)*(1+UtilityRateInputs!$B$5)^X2</f>
        <v>38409.00873965241</v>
      </c>
      <c r="Z11" s="20">
        <f>(Z18*UtilityRateInputs!$B$2)*(1+UtilityRateInputs!$B$5)^Y2</f>
        <v>39059.65734770213</v>
      </c>
      <c r="AA11" s="20">
        <f>(AA18*UtilityRateInputs!$B$2)*(1+UtilityRateInputs!$B$5)^Z2</f>
        <v>39721.327943172204</v>
      </c>
    </row>
    <row r="12" spans="1:27" ht="20.5" customHeight="1" x14ac:dyDescent="0.35">
      <c r="A12" s="1" t="s">
        <v>51</v>
      </c>
      <c r="B12">
        <v>0</v>
      </c>
    </row>
    <row r="13" spans="1:27" ht="20.5" customHeight="1" x14ac:dyDescent="0.35">
      <c r="A13" s="1" t="s">
        <v>53</v>
      </c>
      <c r="B13" s="33">
        <f>B8</f>
        <v>-206460</v>
      </c>
      <c r="C13" s="34">
        <f>SUM(C9:C11)</f>
        <v>24750</v>
      </c>
      <c r="D13" s="34">
        <f t="shared" ref="D13:AA13" si="2">SUM(D9:D11)</f>
        <v>25614.757749960005</v>
      </c>
      <c r="E13" s="34">
        <f t="shared" si="2"/>
        <v>26044.458126244321</v>
      </c>
      <c r="F13" s="34">
        <f t="shared" si="2"/>
        <v>26481.353354502906</v>
      </c>
      <c r="G13" s="34">
        <f t="shared" si="2"/>
        <v>26925.563630080182</v>
      </c>
      <c r="H13" s="34">
        <f t="shared" si="2"/>
        <v>27377.211150720781</v>
      </c>
      <c r="I13" s="34">
        <f t="shared" si="2"/>
        <v>27836.420149815967</v>
      </c>
      <c r="J13" s="34">
        <f t="shared" si="2"/>
        <v>28303.316930199875</v>
      </c>
      <c r="K13" s="34">
        <f t="shared" si="2"/>
        <v>28778.029898504399</v>
      </c>
      <c r="L13" s="34">
        <f t="shared" si="2"/>
        <v>29260.689600082151</v>
      </c>
      <c r="M13" s="34">
        <f t="shared" si="2"/>
        <v>29751.428754506553</v>
      </c>
      <c r="N13" s="34">
        <f t="shared" si="2"/>
        <v>30250.382291658898</v>
      </c>
      <c r="O13" s="34">
        <f>SUM(O9:O11)</f>
        <v>30757.687388411618</v>
      </c>
      <c r="P13" s="34">
        <f>SUM(P9:P11)</f>
        <v>-24526.516494082018</v>
      </c>
      <c r="Q13" s="34">
        <f t="shared" si="2"/>
        <v>31797.912427517818</v>
      </c>
      <c r="R13" s="34">
        <f t="shared" si="2"/>
        <v>32331.118297269764</v>
      </c>
      <c r="S13" s="34">
        <f t="shared" si="2"/>
        <v>32873.247659119901</v>
      </c>
      <c r="T13" s="34">
        <f t="shared" si="2"/>
        <v>33424.449496717665</v>
      </c>
      <c r="U13" s="34">
        <f t="shared" si="2"/>
        <v>33984.875273889367</v>
      </c>
      <c r="V13" s="34">
        <f t="shared" si="2"/>
        <v>34554.678975780327</v>
      </c>
      <c r="W13" s="34">
        <f t="shared" si="2"/>
        <v>35134.017150676322</v>
      </c>
      <c r="X13" s="34">
        <f t="shared" si="2"/>
        <v>35723.048952516001</v>
      </c>
      <c r="Y13" s="34">
        <f t="shared" si="2"/>
        <v>36321.936184104969</v>
      </c>
      <c r="Z13" s="34">
        <f t="shared" si="2"/>
        <v>36930.843341043743</v>
      </c>
      <c r="AA13" s="34">
        <f t="shared" si="2"/>
        <v>37549.937656380651</v>
      </c>
    </row>
    <row r="14" spans="1:27" ht="20.5" customHeight="1" x14ac:dyDescent="0.35">
      <c r="A14" s="1" t="s">
        <v>52</v>
      </c>
      <c r="B14" s="33">
        <f>B13</f>
        <v>-206460</v>
      </c>
      <c r="C14" s="34">
        <f>C13+B14</f>
        <v>-181710</v>
      </c>
      <c r="D14" s="34">
        <f>D13+C14</f>
        <v>-156095.24225004</v>
      </c>
      <c r="E14" s="34">
        <f t="shared" ref="E14:R14" si="3">E13+D14</f>
        <v>-130050.78412379567</v>
      </c>
      <c r="F14" s="34">
        <f t="shared" si="3"/>
        <v>-103569.43076929277</v>
      </c>
      <c r="G14" s="34">
        <f t="shared" si="3"/>
        <v>-76643.867139212583</v>
      </c>
      <c r="H14" s="34">
        <f t="shared" si="3"/>
        <v>-49266.655988491802</v>
      </c>
      <c r="I14" s="34">
        <f t="shared" si="3"/>
        <v>-21430.235838675835</v>
      </c>
      <c r="J14" s="34">
        <f t="shared" si="3"/>
        <v>6873.0810915240399</v>
      </c>
      <c r="K14" s="34">
        <f t="shared" si="3"/>
        <v>35651.110990028435</v>
      </c>
      <c r="L14" s="34">
        <f t="shared" si="3"/>
        <v>64911.800590110586</v>
      </c>
      <c r="M14" s="34">
        <f t="shared" si="3"/>
        <v>94663.229344617139</v>
      </c>
      <c r="N14" s="34">
        <f t="shared" si="3"/>
        <v>124913.61163627604</v>
      </c>
      <c r="O14" s="34">
        <f t="shared" si="3"/>
        <v>155671.29902468764</v>
      </c>
      <c r="P14" s="34">
        <f>P13+O14</f>
        <v>131144.78253060562</v>
      </c>
      <c r="Q14" s="34">
        <f t="shared" si="3"/>
        <v>162942.69495812344</v>
      </c>
      <c r="R14" s="34">
        <f t="shared" si="3"/>
        <v>195273.81325539321</v>
      </c>
      <c r="S14" s="34">
        <f>S13+R14</f>
        <v>228147.0609145131</v>
      </c>
      <c r="T14" s="34">
        <f t="shared" ref="T14" si="4">T13+S14</f>
        <v>261571.51041123076</v>
      </c>
      <c r="U14" s="34">
        <f t="shared" ref="U14" si="5">U13+T14</f>
        <v>295556.38568512013</v>
      </c>
      <c r="V14" s="34">
        <f t="shared" ref="V14" si="6">V13+U14</f>
        <v>330111.06466090045</v>
      </c>
      <c r="W14" s="34">
        <f t="shared" ref="W14" si="7">W13+V14</f>
        <v>365245.08181157679</v>
      </c>
      <c r="X14" s="34">
        <f t="shared" ref="X14" si="8">X13+W14</f>
        <v>400968.13076409278</v>
      </c>
      <c r="Y14" s="34">
        <f t="shared" ref="Y14" si="9">Y13+X14</f>
        <v>437290.06694819778</v>
      </c>
      <c r="Z14" s="34">
        <f t="shared" ref="Z14" si="10">Z13+Y14</f>
        <v>474220.91028924152</v>
      </c>
      <c r="AA14" s="34">
        <f t="shared" ref="AA14" si="11">AA13+Z14</f>
        <v>511770.84794562217</v>
      </c>
    </row>
    <row r="15" spans="1:27" ht="20.5" customHeight="1" x14ac:dyDescent="0.35">
      <c r="A15" s="1" t="s">
        <v>27</v>
      </c>
      <c r="B15">
        <f>B2</f>
        <v>1</v>
      </c>
      <c r="C15">
        <f t="shared" ref="C15:AA15" si="12">C2</f>
        <v>2</v>
      </c>
      <c r="D15">
        <f t="shared" si="12"/>
        <v>3</v>
      </c>
      <c r="E15">
        <f t="shared" si="12"/>
        <v>4</v>
      </c>
      <c r="F15">
        <f t="shared" si="12"/>
        <v>5</v>
      </c>
      <c r="G15">
        <f t="shared" si="12"/>
        <v>6</v>
      </c>
      <c r="H15">
        <f t="shared" si="12"/>
        <v>7</v>
      </c>
      <c r="I15">
        <f t="shared" si="12"/>
        <v>8</v>
      </c>
      <c r="J15">
        <f t="shared" si="12"/>
        <v>9</v>
      </c>
      <c r="K15">
        <f t="shared" si="12"/>
        <v>10</v>
      </c>
      <c r="L15">
        <f t="shared" si="12"/>
        <v>11</v>
      </c>
      <c r="M15">
        <f t="shared" si="12"/>
        <v>12</v>
      </c>
      <c r="N15">
        <f t="shared" si="12"/>
        <v>13</v>
      </c>
      <c r="O15">
        <f t="shared" si="12"/>
        <v>14</v>
      </c>
      <c r="P15">
        <f t="shared" si="12"/>
        <v>15</v>
      </c>
      <c r="Q15">
        <f t="shared" si="12"/>
        <v>16</v>
      </c>
      <c r="R15">
        <f t="shared" si="12"/>
        <v>17</v>
      </c>
      <c r="S15">
        <f t="shared" si="12"/>
        <v>18</v>
      </c>
      <c r="T15">
        <f t="shared" si="12"/>
        <v>19</v>
      </c>
      <c r="U15">
        <f t="shared" si="12"/>
        <v>20</v>
      </c>
      <c r="V15">
        <f t="shared" si="12"/>
        <v>21</v>
      </c>
      <c r="W15">
        <f t="shared" si="12"/>
        <v>22</v>
      </c>
      <c r="X15">
        <f t="shared" si="12"/>
        <v>23</v>
      </c>
      <c r="Y15">
        <f t="shared" si="12"/>
        <v>24</v>
      </c>
      <c r="Z15">
        <f t="shared" si="12"/>
        <v>25</v>
      </c>
      <c r="AA15">
        <f t="shared" si="12"/>
        <v>26</v>
      </c>
    </row>
    <row r="17" spans="1:27" x14ac:dyDescent="0.35">
      <c r="C17" s="36"/>
      <c r="D17" s="36"/>
    </row>
    <row r="18" spans="1:27" x14ac:dyDescent="0.35">
      <c r="A18" s="1" t="s">
        <v>62</v>
      </c>
      <c r="C18" s="32">
        <f>PVDataInput!B3*SystemSize</f>
        <v>261000</v>
      </c>
      <c r="D18" s="32">
        <f>$C$18*(1-SystemData!$B$10)^C15</f>
        <v>259436.34900000002</v>
      </c>
      <c r="E18" s="32">
        <f>$C$18*(1-SystemData!$B$10)^D15</f>
        <v>258658.039953</v>
      </c>
      <c r="F18" s="32">
        <f>$C$18*(1-SystemData!$B$10)^E15</f>
        <v>257882.06583314101</v>
      </c>
      <c r="G18" s="32">
        <f>$C$18*(1-SystemData!$B$10)^F15</f>
        <v>257108.41963564156</v>
      </c>
      <c r="H18" s="32">
        <f>$C$18*(1-SystemData!$B$10)^G15</f>
        <v>256337.09437673466</v>
      </c>
      <c r="I18" s="32">
        <f>$C$18*(1-SystemData!$B$10)^H15</f>
        <v>255568.08309360445</v>
      </c>
      <c r="J18" s="32">
        <f>$C$18*(1-SystemData!$B$10)^I15</f>
        <v>254801.37884432366</v>
      </c>
      <c r="K18" s="32">
        <f>$C$18*(1-SystemData!$B$10)^J15</f>
        <v>254036.97470779068</v>
      </c>
      <c r="L18" s="32">
        <f>$C$18*(1-SystemData!$B$10)^K15</f>
        <v>253274.86378366733</v>
      </c>
      <c r="M18" s="32">
        <f>$C$18*(1-SystemData!$B$10)^L15</f>
        <v>252515.03919231633</v>
      </c>
      <c r="N18" s="32">
        <f>$C$18*(1-SystemData!$B$10)^M15</f>
        <v>251757.49407473937</v>
      </c>
      <c r="O18" s="32">
        <f>$C$18*(1-SystemData!$B$10)^N15</f>
        <v>251002.22159251512</v>
      </c>
      <c r="P18" s="32">
        <f>$C$18*(1-SystemData!$B$10)^O15</f>
        <v>250249.2149277376</v>
      </c>
      <c r="Q18" s="32">
        <f>$C$18*(1-SystemData!$B$10)^P15</f>
        <v>249498.4672829544</v>
      </c>
      <c r="R18" s="32">
        <f>$C$18*(1-SystemData!$B$10)^Q15</f>
        <v>248749.97188110554</v>
      </c>
      <c r="S18" s="32">
        <f>$C$18*(1-SystemData!$B$10)^R15</f>
        <v>248003.72196546223</v>
      </c>
      <c r="T18" s="32">
        <f>$C$18*(1-SystemData!$B$10)^S15</f>
        <v>247259.71079956586</v>
      </c>
      <c r="U18" s="32">
        <f>$C$18*(1-SystemData!$B$10)^T15</f>
        <v>246517.93166716714</v>
      </c>
      <c r="V18" s="32">
        <f>$C$18*(1-SystemData!$B$10)^U15</f>
        <v>245778.37787216564</v>
      </c>
      <c r="W18" s="32">
        <f>$C$18*(1-SystemData!$B$10)^V15</f>
        <v>245041.04273854915</v>
      </c>
      <c r="X18" s="32">
        <f>$C$18*(1-SystemData!$B$10)^W15</f>
        <v>244305.91961033351</v>
      </c>
      <c r="Y18" s="32">
        <f>$C$18*(1-SystemData!$B$10)^X15</f>
        <v>243573.00185150251</v>
      </c>
      <c r="Z18" s="32">
        <f>$C$18*(1-SystemData!$B$10)^Y15</f>
        <v>242842.28284594801</v>
      </c>
      <c r="AA18" s="32">
        <f>$C$18*(1-SystemData!$B$10)^Z15</f>
        <v>242113.75599741016</v>
      </c>
    </row>
    <row r="19" spans="1:27" x14ac:dyDescent="0.35">
      <c r="A19" s="1" t="s">
        <v>72</v>
      </c>
      <c r="B19" s="32">
        <f>SUM(C18:AA18)</f>
        <v>6277311.4235273758</v>
      </c>
    </row>
    <row r="20" spans="1:27" x14ac:dyDescent="0.35">
      <c r="A20" s="1" t="s">
        <v>73</v>
      </c>
      <c r="B20" s="32">
        <f>B19*UtilityRateInputs!B4</f>
        <v>627731.1423527376</v>
      </c>
    </row>
    <row r="21" spans="1:27" x14ac:dyDescent="0.35">
      <c r="A21" s="1" t="s">
        <v>60</v>
      </c>
      <c r="B21" s="32">
        <f>SUM(C9:AA9)</f>
        <v>-43240.90462636928</v>
      </c>
    </row>
    <row r="22" spans="1:27" x14ac:dyDescent="0.35">
      <c r="A22" s="1" t="s">
        <v>61</v>
      </c>
      <c r="B22" s="32">
        <f>B8+B21+P10</f>
        <v>-305500.90462636924</v>
      </c>
    </row>
    <row r="23" spans="1:27" x14ac:dyDescent="0.35">
      <c r="A23" s="1" t="s">
        <v>74</v>
      </c>
      <c r="B23" s="35">
        <f>-(B13+SUM(C9:AA9)+P10)/B19</f>
        <v>4.8667476251273954E-2</v>
      </c>
    </row>
    <row r="26" spans="1:27" x14ac:dyDescent="0.35">
      <c r="B26" s="38"/>
    </row>
    <row r="34" spans="2:2" x14ac:dyDescent="0.35">
      <c r="B34" s="29"/>
    </row>
  </sheetData>
  <conditionalFormatting sqref="B3:B8">
    <cfRule type="cellIs" dxfId="3" priority="4" operator="lessThan">
      <formula>0</formula>
    </cfRule>
  </conditionalFormatting>
  <conditionalFormatting sqref="C9:AA9">
    <cfRule type="cellIs" dxfId="2" priority="3" operator="lessThan">
      <formula>0</formula>
    </cfRule>
  </conditionalFormatting>
  <conditionalFormatting sqref="B13:B14">
    <cfRule type="cellIs" dxfId="1" priority="2" operator="lessThan">
      <formula>"-"</formula>
    </cfRule>
  </conditionalFormatting>
  <conditionalFormatting sqref="C14:T14">
    <cfRule type="cellIs" dxfId="0" priority="1" operator="lessThan">
      <formula>0</formula>
    </cfRule>
  </conditionalFormatting>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tabSelected="1" workbookViewId="0">
      <selection activeCell="I22" sqref="I22"/>
    </sheetView>
  </sheetViews>
  <sheetFormatPr defaultRowHeight="14.5" x14ac:dyDescent="0.35"/>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
  <sheetViews>
    <sheetView workbookViewId="0">
      <selection activeCell="E13" sqref="E13"/>
    </sheetView>
  </sheetViews>
  <sheetFormatPr defaultRowHeight="14.5" x14ac:dyDescent="0.35"/>
  <cols>
    <col min="1" max="1" width="31.453125" customWidth="1"/>
    <col min="2" max="2" width="10.453125" bestFit="1" customWidth="1"/>
  </cols>
  <sheetData>
    <row r="1" spans="1:4" x14ac:dyDescent="0.35">
      <c r="A1" t="s">
        <v>54</v>
      </c>
    </row>
    <row r="2" spans="1:4" ht="20.5" customHeight="1" x14ac:dyDescent="0.35">
      <c r="A2" s="1" t="s">
        <v>55</v>
      </c>
      <c r="B2" s="42">
        <f>-CashFlow!B13/CashFlow!C11</f>
        <v>7.9103448275862069</v>
      </c>
      <c r="C2" t="s">
        <v>56</v>
      </c>
    </row>
    <row r="3" spans="1:4" ht="20.5" customHeight="1" x14ac:dyDescent="0.35">
      <c r="A3" s="1" t="s">
        <v>57</v>
      </c>
      <c r="B3" s="24">
        <f>NPV(5%,CashFlow!B13:AA13)</f>
        <v>175019.59607356184</v>
      </c>
    </row>
    <row r="4" spans="1:4" ht="20.5" customHeight="1" x14ac:dyDescent="0.35">
      <c r="A4" s="1" t="s">
        <v>58</v>
      </c>
      <c r="B4" s="43">
        <f>IRR(CashFlow!B13:AA13)</f>
        <v>0.12267787757608439</v>
      </c>
    </row>
    <row r="5" spans="1:4" ht="20.5" customHeight="1" x14ac:dyDescent="0.35">
      <c r="A5" s="1" t="s">
        <v>63</v>
      </c>
      <c r="B5" s="41">
        <v>11</v>
      </c>
      <c r="D5"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vt:lpstr>
      <vt:lpstr>SystemData</vt:lpstr>
      <vt:lpstr>PVDataInput</vt:lpstr>
      <vt:lpstr>UtilityRateInputs</vt:lpstr>
      <vt:lpstr>TaxRate</vt:lpstr>
      <vt:lpstr>PVSystemCosts</vt:lpstr>
      <vt:lpstr>CashFlow</vt:lpstr>
      <vt:lpstr>CashFlowChart</vt:lpstr>
      <vt:lpstr>SystemFinacialResults</vt:lpstr>
      <vt:lpstr>References</vt:lpstr>
      <vt:lpstr>ElectricityRate</vt:lpstr>
      <vt:lpstr>SystemSize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kmerritt</cp:lastModifiedBy>
  <cp:lastPrinted>2021-07-27T15:15:34Z</cp:lastPrinted>
  <dcterms:created xsi:type="dcterms:W3CDTF">2021-04-10T18:57:04Z</dcterms:created>
  <dcterms:modified xsi:type="dcterms:W3CDTF">2021-11-19T17:50:00Z</dcterms:modified>
</cp:coreProperties>
</file>