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AF0E316C-6BA1-4A4A-AA95-F9DE37A46AF8}" xr6:coauthVersionLast="47" xr6:coauthVersionMax="47" xr10:uidLastSave="{00000000-0000-0000-0000-000000000000}"/>
  <bookViews>
    <workbookView xWindow="30465" yWindow="1545" windowWidth="14460" windowHeight="12990" xr2:uid="{D29855A1-290D-4B7F-A9E5-99329D8F031A}"/>
  </bookViews>
  <sheets>
    <sheet name="Budget" sheetId="1" r:id="rId1"/>
    <sheet name="Field_Activities" sheetId="3" r:id="rId2"/>
  </sheets>
  <definedNames>
    <definedName name="_xlnm.Print_Area" localSheetId="1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8" i="1"/>
  <c r="C34" i="1"/>
  <c r="C31" i="1" l="1"/>
  <c r="C29" i="1"/>
  <c r="C26" i="1"/>
  <c r="J62" i="1" l="1"/>
  <c r="J57" i="1"/>
  <c r="J58" i="1"/>
  <c r="J24" i="1"/>
  <c r="J19" i="1"/>
  <c r="J15" i="1"/>
  <c r="C24" i="1" l="1"/>
  <c r="C23" i="1"/>
  <c r="C22" i="1"/>
  <c r="C21" i="1"/>
  <c r="C38" i="1"/>
  <c r="D52" i="1"/>
  <c r="D58" i="1"/>
  <c r="D57" i="1"/>
  <c r="D51" i="1"/>
  <c r="D56" i="1"/>
  <c r="E15" i="1" l="1"/>
  <c r="E49" i="1"/>
  <c r="G49" i="1" s="1"/>
  <c r="G15" i="1" l="1"/>
  <c r="H15" i="1" s="1"/>
  <c r="H49" i="1"/>
  <c r="E54" i="1" l="1"/>
  <c r="G54" i="1" l="1"/>
  <c r="H54" i="1" s="1"/>
  <c r="E18" i="1" l="1"/>
  <c r="G18" i="1" s="1"/>
  <c r="E34" i="1"/>
  <c r="G34" i="1" s="1"/>
  <c r="H34" i="1" s="1"/>
  <c r="E38" i="1"/>
  <c r="E14" i="1"/>
  <c r="E17" i="1"/>
  <c r="G17" i="1" s="1"/>
  <c r="E19" i="1"/>
  <c r="H18" i="1" l="1"/>
  <c r="G38" i="1"/>
  <c r="H38" i="1" s="1"/>
  <c r="G14" i="1"/>
  <c r="H14" i="1" s="1"/>
  <c r="G19" i="1"/>
  <c r="H19" i="1" s="1"/>
  <c r="H17" i="1"/>
  <c r="E70" i="1" l="1"/>
  <c r="G70" i="1" s="1"/>
  <c r="E69" i="1"/>
  <c r="E68" i="1"/>
  <c r="G68" i="1" s="1"/>
  <c r="H68" i="1" s="1"/>
  <c r="E63" i="1"/>
  <c r="G63" i="1" s="1"/>
  <c r="H63" i="1" s="1"/>
  <c r="E62" i="1"/>
  <c r="E61" i="1"/>
  <c r="G61" i="1" s="1"/>
  <c r="E60" i="1"/>
  <c r="G60" i="1" s="1"/>
  <c r="E58" i="1"/>
  <c r="G58" i="1" s="1"/>
  <c r="H58" i="1" s="1"/>
  <c r="E57" i="1"/>
  <c r="G57" i="1" s="1"/>
  <c r="H57" i="1" s="1"/>
  <c r="E56" i="1"/>
  <c r="G56" i="1" s="1"/>
  <c r="E52" i="1"/>
  <c r="G52" i="1" s="1"/>
  <c r="H52" i="1" s="1"/>
  <c r="E51" i="1"/>
  <c r="G51" i="1" s="1"/>
  <c r="E47" i="1"/>
  <c r="G47" i="1" s="1"/>
  <c r="H47" i="1" s="1"/>
  <c r="E45" i="1"/>
  <c r="E43" i="1"/>
  <c r="G43" i="1" s="1"/>
  <c r="E41" i="1"/>
  <c r="E36" i="1"/>
  <c r="G36" i="1" s="1"/>
  <c r="H36" i="1" s="1"/>
  <c r="E33" i="1"/>
  <c r="E32" i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3" i="1"/>
  <c r="G23" i="1" s="1"/>
  <c r="H23" i="1" s="1"/>
  <c r="E22" i="1"/>
  <c r="E21" i="1"/>
  <c r="E7" i="1"/>
  <c r="G21" i="1" l="1"/>
  <c r="H21" i="1" s="1"/>
  <c r="E64" i="1"/>
  <c r="E8" i="1"/>
  <c r="G7" i="1"/>
  <c r="G8" i="1" s="1"/>
  <c r="E12" i="1" s="1"/>
  <c r="H12" i="1" s="1"/>
  <c r="H51" i="1"/>
  <c r="H56" i="1"/>
  <c r="H29" i="1"/>
  <c r="H61" i="1"/>
  <c r="G22" i="1"/>
  <c r="H22" i="1" s="1"/>
  <c r="H27" i="1"/>
  <c r="G30" i="1"/>
  <c r="H30" i="1" s="1"/>
  <c r="G45" i="1"/>
  <c r="H45" i="1" s="1"/>
  <c r="H60" i="1"/>
  <c r="G62" i="1"/>
  <c r="H62" i="1" s="1"/>
  <c r="G24" i="1"/>
  <c r="H24" i="1" s="1"/>
  <c r="G32" i="1"/>
  <c r="H32" i="1" s="1"/>
  <c r="H70" i="1"/>
  <c r="E71" i="1"/>
  <c r="G33" i="1"/>
  <c r="H33" i="1" s="1"/>
  <c r="H43" i="1"/>
  <c r="G28" i="1"/>
  <c r="H28" i="1" s="1"/>
  <c r="G41" i="1"/>
  <c r="H41" i="1" s="1"/>
  <c r="G69" i="1"/>
  <c r="H69" i="1" s="1"/>
  <c r="J34" i="1" l="1"/>
  <c r="J38" i="1" s="1"/>
  <c r="H7" i="1"/>
  <c r="G71" i="1"/>
  <c r="H71" i="1" s="1"/>
  <c r="H8" i="1"/>
  <c r="E72" i="1" l="1"/>
  <c r="G64" i="1"/>
  <c r="E65" i="1" l="1"/>
  <c r="H64" i="1"/>
  <c r="G65" i="1"/>
  <c r="G72" i="1"/>
  <c r="G73" i="1" s="1"/>
  <c r="E73" i="1"/>
  <c r="H72" i="1" l="1"/>
  <c r="H65" i="1"/>
  <c r="H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<sst xmlns="http://schemas.openxmlformats.org/spreadsheetml/2006/main" count="198" uniqueCount="144">
  <si>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</si>
  <si>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</si>
  <si>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</si>
  <si>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</si>
  <si>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</si>
  <si>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</si>
  <si>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</si>
  <si>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</si>
  <si>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</si>
  <si>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</si>
  <si>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</si>
  <si>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</si>
  <si>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</si>
  <si>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</si>
  <si>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</si>
  <si>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</si>
  <si>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</si>
  <si>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</si>
  <si>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</si>
  <si>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</si>
  <si>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</si>
  <si>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</si>
  <si>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</si>
  <si>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>lb</t>
  </si>
  <si>
    <t xml:space="preserve">  ADJUVANTS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</si>
  <si>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</si>
  <si>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</si>
  <si>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</si>
  <si>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</si>
  <si>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</si>
  <si>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</si>
  <si>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</si>
  <si>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>Rice Consultant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</si>
  <si>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</si>
  <si>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</si>
  <si>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</si>
  <si>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</si>
  <si>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</si>
  <si>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</si>
  <si>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</si>
  <si>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</si>
  <si>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</si>
  <si>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</si>
  <si>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</si>
  <si>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</si>
  <si>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</si>
  <si>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</si>
  <si>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</si>
  <si>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</si>
  <si>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Clearfield Rice</t>
  </si>
  <si>
    <t>Estimated costs and returns per acre</t>
  </si>
  <si>
    <t>Flood irrigated, 30 ac-in., Arkansas, 2024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</si>
  <si>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</si>
  <si>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</si>
  <si>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</si>
  <si>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</si>
  <si>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Command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</si>
  <si>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Newpath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</si>
  <si>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</si>
  <si>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Prowl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</si>
  <si>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Newpath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</si>
  <si>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Permit Plus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</si>
  <si>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Beyond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</si>
  <si>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Basagran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</si>
  <si>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Urea, agrotain treated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</si>
  <si>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7</t>
    </r>
  </si>
  <si>
    <t xml:space="preserve">  CROP CONSULTANT/SCOUTING FEE</t>
  </si>
  <si>
    <t>Rice Seed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</si>
  <si>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</t>
    </r>
  </si>
  <si>
    <t>Tractors/Implements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</si>
  <si>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</si>
  <si>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</si>
  <si>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</si>
  <si>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</si>
  <si>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</si>
  <si>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</si>
  <si>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</si>
  <si>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</si>
  <si>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</si>
  <si>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</si>
  <si>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</si>
  <si>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</si>
  <si>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</si>
  <si>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</si>
  <si>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Custom Ground Application</t>
  </si>
  <si>
    <t>Herbicide (Burndown)</t>
  </si>
  <si>
    <t>2 pt Glyphosate</t>
  </si>
  <si>
    <t>Fertilizer</t>
  </si>
  <si>
    <t>87 lbs Phosphate (0-40-0), 100 lbs Potash (0-0-60)</t>
  </si>
  <si>
    <t>Grain Drill</t>
  </si>
  <si>
    <t>30 ft.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</si>
  <si>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</si>
  <si>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</si>
  <si>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</si>
  <si>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</si>
  <si>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</si>
  <si>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</si>
  <si>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</si>
  <si>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</si>
  <si>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5 oz Newpath, 2 pt Glyphosate</t>
  </si>
  <si>
    <t>2.1 pt Prowl, 5 oz Newpath, 0.75 oz Permit Plus</t>
  </si>
  <si>
    <t>5 oz Beyond, 1.5 pt Basagran</t>
  </si>
  <si>
    <t>230 lb Urea (46-0-0),  0.46 qt Agrotain treated</t>
  </si>
  <si>
    <t>Flood Field</t>
  </si>
  <si>
    <t>100 lb Urea (46-0-0)</t>
  </si>
  <si>
    <t>Insecticide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</si>
  <si>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</si>
  <si>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</si>
  <si>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</si>
  <si>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</si>
  <si>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</si>
  <si>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</si>
  <si>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</si>
  <si>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</si>
  <si>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</si>
  <si>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</si>
  <si>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</si>
  <si>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</si>
  <si>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Table A. Rice Field Activities, Clearfield Seed</t>
  </si>
  <si>
    <t xml:space="preserve">  CROP INSURANCE</t>
  </si>
  <si>
    <t>Rice Crop Insurance</t>
  </si>
  <si>
    <t xml:space="preserve">  LAND EXPENSE</t>
  </si>
  <si>
    <t>Cash Land Rent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</si>
  <si>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3,4,5,8,9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</si>
  <si>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6,7</t>
    </r>
  </si>
  <si>
    <t>Rice Seed Cv (Levees)</t>
  </si>
  <si>
    <t xml:space="preserve">  IRRIGATE LABOR</t>
  </si>
  <si>
    <r>
      <t>Tenchu</t>
    </r>
    <r>
      <rPr>
        <vertAlign val="superscript"/>
        <sz val="11"/>
        <color rgb="FF990000"/>
        <rFont val="Calibri"/>
        <family val="2"/>
        <scheme val="minor"/>
      </rPr>
      <t>8</t>
    </r>
  </si>
  <si>
    <t>**Implements assumed in use for this budget are as follows: 1 x disk; 1 x ditcher; 1 x field cultivator; 1 x land plane; 1 x grain drill; 2 x levee pull; 1x levee pull, planter/incorporate; 1 x install gates; 1 x take down levees; 1 x stubble roller</t>
  </si>
  <si>
    <t>Tractors/Implements**</t>
  </si>
  <si>
    <r>
      <t>Aframe Plus</t>
    </r>
    <r>
      <rPr>
        <vertAlign val="superscript"/>
        <sz val="11"/>
        <color rgb="FF990000"/>
        <rFont val="Calibri"/>
        <family val="2"/>
        <scheme val="minor"/>
      </rPr>
      <t>9</t>
    </r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</si>
  <si>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</si>
  <si>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</si>
  <si>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8 oz Tenchu</t>
  </si>
  <si>
    <t>21 oz Aframe Plus</t>
  </si>
  <si>
    <t>Note: Cost of production estimates are based on input prices gathered in fall 2023. These budgets are an adaptation of budgets from MSState following University of Arkansas System Recommendations.</t>
  </si>
  <si>
    <t>Total Seed</t>
  </si>
  <si>
    <t>Total Custom App</t>
  </si>
  <si>
    <t>Total Repair/Maint</t>
  </si>
  <si>
    <t>Total Diesel Fuel</t>
  </si>
  <si>
    <t>Total Gallon</t>
  </si>
  <si>
    <t>Total Crop Protect</t>
  </si>
  <si>
    <t>Total Herbicides</t>
  </si>
  <si>
    <t>Total 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</si>
</sst>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2" borderId="12" xfId="2" applyFill="1" applyBorder="1"/>
    <xf numFmtId="0" fontId="8" fillId="0" borderId="0" xfId="2"/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3" xfId="2" applyFont="1" applyFill="1" applyBorder="1"/>
    <xf numFmtId="0" fontId="9" fillId="2" borderId="14" xfId="2" applyFont="1" applyFill="1" applyBorder="1"/>
    <xf numFmtId="0" fontId="9" fillId="2" borderId="15" xfId="2" applyFont="1" applyFill="1" applyBorder="1" applyAlignment="1">
      <alignment horizontal="center"/>
    </xf>
    <xf numFmtId="8" fontId="9" fillId="2" borderId="15" xfId="2" applyNumberFormat="1" applyFont="1" applyFill="1" applyBorder="1" applyAlignment="1">
      <alignment horizontal="center"/>
    </xf>
    <xf numFmtId="0" fontId="9" fillId="2" borderId="16" xfId="2" applyFont="1" applyFill="1" applyBorder="1"/>
    <xf numFmtId="0" fontId="10" fillId="2" borderId="17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8" fontId="9" fillId="2" borderId="17" xfId="2" applyNumberFormat="1" applyFont="1" applyFill="1" applyBorder="1" applyAlignment="1">
      <alignment horizontal="center"/>
    </xf>
    <xf numFmtId="0" fontId="9" fillId="2" borderId="18" xfId="2" applyFont="1" applyFill="1" applyBorder="1"/>
    <xf numFmtId="0" fontId="9" fillId="2" borderId="4" xfId="2" applyFont="1" applyFill="1" applyBorder="1"/>
    <xf numFmtId="0" fontId="9" fillId="2" borderId="0" xfId="2" applyFont="1" applyFill="1"/>
    <xf numFmtId="0" fontId="9" fillId="2" borderId="17" xfId="2" applyFont="1" applyFill="1" applyBorder="1" applyAlignment="1">
      <alignment horizontal="center"/>
    </xf>
    <xf numFmtId="0" fontId="12" fillId="2" borderId="0" xfId="2" applyFont="1" applyFill="1"/>
    <xf numFmtId="0" fontId="10" fillId="2" borderId="18" xfId="2" applyFont="1" applyFill="1" applyBorder="1"/>
    <xf numFmtId="0" fontId="9" fillId="2" borderId="19" xfId="2" applyFont="1" applyFill="1" applyBorder="1"/>
    <xf numFmtId="0" fontId="9" fillId="0" borderId="16" xfId="2" applyFont="1" applyBorder="1" applyAlignment="1">
      <alignment horizontal="center"/>
    </xf>
    <xf numFmtId="0" fontId="9" fillId="2" borderId="16" xfId="2" applyFont="1" applyFill="1" applyBorder="1" applyAlignment="1">
      <alignment horizontal="center" wrapText="1"/>
    </xf>
    <xf numFmtId="0" fontId="11" fillId="2" borderId="1" xfId="2" applyFont="1" applyFill="1" applyBorder="1"/>
    <xf numFmtId="0" fontId="8" fillId="2" borderId="17" xfId="2" applyFill="1" applyBorder="1"/>
    <xf numFmtId="0" fontId="9" fillId="2" borderId="20" xfId="2" applyFont="1" applyFill="1" applyBorder="1"/>
    <xf numFmtId="0" fontId="9" fillId="2" borderId="21" xfId="2" applyFont="1" applyFill="1" applyBorder="1"/>
    <xf numFmtId="0" fontId="9" fillId="2" borderId="22" xfId="2" applyFont="1" applyFill="1" applyBorder="1" applyAlignment="1">
      <alignment horizontal="center"/>
    </xf>
    <xf numFmtId="8" fontId="9" fillId="2" borderId="23" xfId="2" applyNumberFormat="1" applyFont="1" applyFill="1" applyBorder="1" applyAlignment="1">
      <alignment horizontal="center"/>
    </xf>
    <xf numFmtId="0" fontId="9" fillId="2" borderId="24" xfId="2" applyFont="1" applyFill="1" applyBorder="1" applyAlignment="1">
      <alignment horizontal="center"/>
    </xf>
    <xf numFmtId="8" fontId="9" fillId="2" borderId="25" xfId="2" applyNumberFormat="1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8" fontId="9" fillId="2" borderId="24" xfId="2" applyNumberFormat="1" applyFont="1" applyFill="1" applyBorder="1" applyAlignment="1">
      <alignment horizontal="center"/>
    </xf>
    <xf numFmtId="0" fontId="9" fillId="2" borderId="5" xfId="2" applyFont="1" applyFill="1" applyBorder="1"/>
    <xf numFmtId="0" fontId="9" fillId="2" borderId="6" xfId="2" applyFont="1" applyFill="1" applyBorder="1"/>
    <xf numFmtId="0" fontId="9" fillId="2" borderId="26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8" fontId="9" fillId="2" borderId="26" xfId="2" applyNumberFormat="1" applyFont="1" applyFill="1" applyBorder="1" applyAlignment="1">
      <alignment horizontal="center"/>
    </xf>
    <xf numFmtId="0" fontId="9" fillId="2" borderId="27" xfId="2" applyFont="1" applyFill="1" applyBorder="1"/>
    <xf numFmtId="0" fontId="9" fillId="2" borderId="28" xfId="2" applyFont="1" applyFill="1" applyBorder="1" applyAlignment="1">
      <alignment horizontal="center"/>
    </xf>
    <xf numFmtId="0" fontId="8" fillId="2" borderId="29" xfId="2" applyFill="1" applyBorder="1"/>
    <xf numFmtId="0" fontId="9" fillId="2" borderId="7" xfId="2" applyFont="1" applyFill="1" applyBorder="1" applyAlignment="1">
      <alignment horizontal="center"/>
    </xf>
    <xf numFmtId="8" fontId="9" fillId="2" borderId="22" xfId="2" applyNumberFormat="1" applyFont="1" applyFill="1" applyBorder="1" applyAlignment="1">
      <alignment horizontal="center"/>
    </xf>
    <xf numFmtId="0" fontId="10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9" fillId="2" borderId="16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2" borderId="10" xfId="2" applyFont="1" applyFill="1" applyBorder="1" applyAlignment="1">
      <alignment horizontal="left"/>
    </xf>
    <xf numFmtId="0" fontId="8" fillId="2" borderId="11" xfId="2" applyFill="1" applyBorder="1"/>
    <xf numFmtId="0" fontId="15" fillId="0" borderId="0" xfId="0" applyFont="1"/>
    <xf numFmtId="44" fontId="15" fillId="0" borderId="0" xfId="0" applyNumberFormat="1" applyFont="1"/>
    <xf numFmtId="167" fontId="15" fillId="0" borderId="0" xfId="0" applyNumberFormat="1" applyFont="1"/>
  </cellXfs>
  <cellStyles count="3">
    <cellStyle name="Currency" xfId="1" builtinId="4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84905</xdr:rowOff>
    </xdr:from>
    <xdr:to>
      <xdr:col>0</xdr:col>
      <xdr:colOff>989277</xdr:colOff>
      <xdr:row>2</xdr:row>
      <xdr:rowOff>152401</xdr:rowOff>
    </xdr:to>
    <xdr:pic>
      <xdr:nvPicPr>
        <xdr:cNvPr id="3" name="Picture 2" descr="Arkansas Rice Check-Off Logo">
          <a:extLst>
            <a:ext uri="{FF2B5EF4-FFF2-40B4-BE49-F238E27FC236}">
              <a16:creationId xmlns:a16="http://schemas.microsoft.com/office/drawing/2014/main" id="{4495D2E4-36B3-4FB7-9E7A-CA001D35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4905"/>
          <a:ext cx="941653" cy="543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1</xdr:col>
      <xdr:colOff>171449</xdr:colOff>
      <xdr:row>2</xdr:row>
      <xdr:rowOff>190500</xdr:rowOff>
    </xdr:to>
    <xdr:pic>
      <xdr:nvPicPr>
        <xdr:cNvPr id="4" name="Picture 3" descr="Arkansas Rice Promotion Board Logo">
          <a:extLst>
            <a:ext uri="{FF2B5EF4-FFF2-40B4-BE49-F238E27FC236}">
              <a16:creationId xmlns:a16="http://schemas.microsoft.com/office/drawing/2014/main" id="{82F154D6-E9B8-4A33-8945-FF165680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62864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Division of Agriculture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K81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8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1" ht="18.75" x14ac:dyDescent="0.3">
      <c r="A1" s="72" t="s">
        <v>50</v>
      </c>
      <c r="B1" s="72"/>
      <c r="C1" s="72"/>
      <c r="D1" s="72"/>
      <c r="E1" s="72"/>
      <c r="F1" s="72"/>
      <c r="G1" s="72"/>
      <c r="H1" s="72"/>
      <c r="I1" s="17"/>
    </row>
    <row r="2" spans="1:11" ht="18.75" x14ac:dyDescent="0.3">
      <c r="A2" s="73" t="s">
        <v>49</v>
      </c>
      <c r="B2" s="73"/>
      <c r="C2" s="73"/>
      <c r="D2" s="73"/>
      <c r="E2" s="73"/>
      <c r="F2" s="73"/>
      <c r="G2" s="73"/>
      <c r="H2" s="73"/>
      <c r="I2" s="17"/>
    </row>
    <row r="3" spans="1:11" ht="19.5" thickBot="1" x14ac:dyDescent="0.35">
      <c r="A3" s="74" t="s">
        <v>51</v>
      </c>
      <c r="B3" s="74"/>
      <c r="C3" s="74"/>
      <c r="D3" s="74"/>
      <c r="E3" s="74"/>
      <c r="F3" s="74"/>
      <c r="G3" s="74"/>
      <c r="H3" s="74"/>
      <c r="I3" s="17"/>
    </row>
    <row r="4" spans="1:11" ht="15.75" thickTop="1" x14ac:dyDescent="0.25">
      <c r="A4" s="1"/>
      <c r="B4" s="1"/>
      <c r="C4" s="2"/>
      <c r="D4" s="1"/>
      <c r="E4" s="2"/>
      <c r="F4" s="75" t="s">
        <v>0</v>
      </c>
      <c r="G4" s="75"/>
      <c r="H4" s="3" t="s">
        <v>1</v>
      </c>
      <c r="I4" s="3"/>
    </row>
    <row r="5" spans="1:11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1" x14ac:dyDescent="0.25">
      <c r="A6" s="7" t="s">
        <v>9</v>
      </c>
      <c r="J6" s="70"/>
      <c r="K6" s="70"/>
    </row>
    <row r="7" spans="1:11" x14ac:dyDescent="0.25">
      <c r="A7" s="9" t="s">
        <v>10</v>
      </c>
      <c r="B7" s="9" t="s">
        <v>11</v>
      </c>
      <c r="C7" s="10">
        <v>6.75</v>
      </c>
      <c r="D7" s="9">
        <v>170</v>
      </c>
      <c r="E7" s="2">
        <f>ROUND(C7*D7,2)</f>
        <v>1147.5</v>
      </c>
      <c r="F7" s="11">
        <v>0</v>
      </c>
      <c r="G7" s="2">
        <f>ROUND(E7*F7,2)</f>
        <v>0</v>
      </c>
      <c r="H7" s="2">
        <f>ROUND(E7-G7,2)</f>
        <v>1147.5</v>
      </c>
      <c r="I7" s="18"/>
      <c r="J7" s="70"/>
      <c r="K7" s="70"/>
    </row>
    <row r="8" spans="1:11" x14ac:dyDescent="0.25">
      <c r="A8" s="7" t="s">
        <v>12</v>
      </c>
      <c r="E8" s="8">
        <f>SUM(E7:E7)</f>
        <v>1147.5</v>
      </c>
      <c r="G8" s="12">
        <f>SUM(G7:G7)</f>
        <v>0</v>
      </c>
      <c r="H8" s="12">
        <f>ROUND(E8-G8,2)</f>
        <v>1147.5</v>
      </c>
      <c r="I8" s="12"/>
      <c r="J8" s="70"/>
      <c r="K8" s="70"/>
    </row>
    <row r="9" spans="1:11" ht="7.5" customHeight="1" x14ac:dyDescent="0.25">
      <c r="A9" t="s">
        <v>13</v>
      </c>
      <c r="J9" s="70"/>
      <c r="K9" s="70"/>
    </row>
    <row r="10" spans="1:11" x14ac:dyDescent="0.25">
      <c r="A10" s="7" t="s">
        <v>14</v>
      </c>
      <c r="J10" s="70"/>
      <c r="K10" s="70"/>
    </row>
    <row r="11" spans="1:11" x14ac:dyDescent="0.25">
      <c r="A11" s="13" t="s">
        <v>121</v>
      </c>
      <c r="J11" s="70"/>
      <c r="K11" s="70"/>
    </row>
    <row r="12" spans="1:11" x14ac:dyDescent="0.25">
      <c r="A12" s="14" t="s">
        <v>122</v>
      </c>
      <c r="B12" s="14" t="s">
        <v>31</v>
      </c>
      <c r="C12" s="15"/>
      <c r="D12" s="14"/>
      <c r="E12" s="8">
        <f>G8</f>
        <v>0</v>
      </c>
      <c r="F12" s="16"/>
      <c r="G12" s="8"/>
      <c r="H12" s="8">
        <f>E12</f>
        <v>0</v>
      </c>
      <c r="J12" s="79"/>
      <c r="K12" s="79"/>
    </row>
    <row r="13" spans="1:11" x14ac:dyDescent="0.25">
      <c r="A13" s="13" t="s">
        <v>22</v>
      </c>
      <c r="J13" s="79"/>
      <c r="K13" s="79"/>
    </row>
    <row r="14" spans="1:11" x14ac:dyDescent="0.25">
      <c r="A14" s="14" t="s">
        <v>67</v>
      </c>
      <c r="B14" s="14" t="s">
        <v>23</v>
      </c>
      <c r="C14" s="15">
        <v>1.43</v>
      </c>
      <c r="D14" s="14">
        <v>72</v>
      </c>
      <c r="E14" s="8">
        <f>ROUND(C14*D14,2)</f>
        <v>102.96</v>
      </c>
      <c r="F14" s="16">
        <v>0</v>
      </c>
      <c r="G14" s="8">
        <f>ROUND(E14*F14,2)</f>
        <v>0</v>
      </c>
      <c r="H14" s="8">
        <f>ROUND(E14-G14,2)</f>
        <v>102.96</v>
      </c>
      <c r="I14" s="8"/>
      <c r="J14" s="79"/>
      <c r="K14" s="79"/>
    </row>
    <row r="15" spans="1:11" x14ac:dyDescent="0.25">
      <c r="A15" s="14" t="s">
        <v>125</v>
      </c>
      <c r="B15" s="14" t="s">
        <v>23</v>
      </c>
      <c r="C15" s="15">
        <v>0.67</v>
      </c>
      <c r="D15" s="14">
        <v>13.6</v>
      </c>
      <c r="E15" s="8">
        <f>ROUND(C15*D15,2)</f>
        <v>9.11</v>
      </c>
      <c r="F15" s="16">
        <v>0</v>
      </c>
      <c r="G15" s="8">
        <f>ROUND(E15*F15,2)</f>
        <v>0</v>
      </c>
      <c r="H15" s="8">
        <f>ROUND(E15-G15,2)</f>
        <v>9.11</v>
      </c>
      <c r="I15" s="8"/>
      <c r="J15" s="80">
        <f>SUM(H14:H15)</f>
        <v>112.07</v>
      </c>
      <c r="K15" s="79" t="s">
        <v>136</v>
      </c>
    </row>
    <row r="16" spans="1:11" x14ac:dyDescent="0.25">
      <c r="A16" s="13" t="s">
        <v>53</v>
      </c>
      <c r="J16" s="79"/>
      <c r="K16" s="79"/>
    </row>
    <row r="17" spans="1:11" ht="17.25" x14ac:dyDescent="0.25">
      <c r="A17" s="14" t="s">
        <v>68</v>
      </c>
      <c r="B17" s="14" t="s">
        <v>15</v>
      </c>
      <c r="C17" s="15">
        <v>8</v>
      </c>
      <c r="D17" s="14">
        <v>2</v>
      </c>
      <c r="E17" s="8">
        <f>ROUND(C17*D17,2)</f>
        <v>16</v>
      </c>
      <c r="F17" s="16">
        <v>0</v>
      </c>
      <c r="G17" s="8">
        <f>ROUND(E17*F17,2)</f>
        <v>0</v>
      </c>
      <c r="H17" s="8">
        <f>ROUND(E17-G17,2)</f>
        <v>16</v>
      </c>
      <c r="I17" s="8"/>
      <c r="J17" s="79"/>
      <c r="K17" s="79"/>
    </row>
    <row r="18" spans="1:11" ht="17.25" x14ac:dyDescent="0.25">
      <c r="A18" s="14" t="s">
        <v>123</v>
      </c>
      <c r="B18" s="14" t="s">
        <v>15</v>
      </c>
      <c r="C18" s="15">
        <v>8.5</v>
      </c>
      <c r="D18" s="14">
        <v>5</v>
      </c>
      <c r="E18" s="8">
        <f>ROUND(C18*D18,2)</f>
        <v>42.5</v>
      </c>
      <c r="F18" s="16">
        <v>0</v>
      </c>
      <c r="G18" s="8">
        <f>ROUND(E18*F18,2)</f>
        <v>0</v>
      </c>
      <c r="H18" s="8">
        <f>ROUND(E18-G18,2)</f>
        <v>42.5</v>
      </c>
      <c r="I18" s="8"/>
      <c r="J18" s="79"/>
      <c r="K18" s="79"/>
    </row>
    <row r="19" spans="1:11" ht="17.25" x14ac:dyDescent="0.25">
      <c r="A19" s="14" t="s">
        <v>124</v>
      </c>
      <c r="B19" s="14" t="s">
        <v>52</v>
      </c>
      <c r="C19" s="64">
        <v>8.5000000000000006E-2</v>
      </c>
      <c r="D19" s="14">
        <v>330</v>
      </c>
      <c r="E19" s="8">
        <f>ROUND(C19*D19,2)</f>
        <v>28.05</v>
      </c>
      <c r="F19" s="16">
        <v>0</v>
      </c>
      <c r="G19" s="8">
        <f>ROUND(E19*F19,2)</f>
        <v>0</v>
      </c>
      <c r="H19" s="8">
        <f>ROUND(E19-G19,2)</f>
        <v>28.05</v>
      </c>
      <c r="I19" s="8"/>
      <c r="J19" s="80">
        <f>SUM(H17:H19)</f>
        <v>86.55</v>
      </c>
      <c r="K19" s="79" t="s">
        <v>137</v>
      </c>
    </row>
    <row r="20" spans="1:11" x14ac:dyDescent="0.25">
      <c r="A20" s="13" t="s">
        <v>16</v>
      </c>
      <c r="J20" s="79"/>
      <c r="K20" s="79"/>
    </row>
    <row r="21" spans="1:11" ht="17.25" x14ac:dyDescent="0.25">
      <c r="A21" s="14" t="s">
        <v>132</v>
      </c>
      <c r="B21" s="14" t="s">
        <v>52</v>
      </c>
      <c r="C21" s="15">
        <f>700/2000</f>
        <v>0.35</v>
      </c>
      <c r="D21" s="14">
        <v>87</v>
      </c>
      <c r="E21" s="8">
        <f>ROUND(C21*D21,2)</f>
        <v>30.45</v>
      </c>
      <c r="F21" s="16">
        <v>0</v>
      </c>
      <c r="G21" s="8">
        <f>ROUND(E21*F21,2)</f>
        <v>0</v>
      </c>
      <c r="H21" s="8">
        <f>ROUND(E21-G21,2)</f>
        <v>30.45</v>
      </c>
      <c r="I21" s="8"/>
      <c r="J21" s="79"/>
      <c r="K21" s="79"/>
    </row>
    <row r="22" spans="1:11" ht="17.25" x14ac:dyDescent="0.25">
      <c r="A22" s="14" t="s">
        <v>55</v>
      </c>
      <c r="B22" s="14" t="s">
        <v>52</v>
      </c>
      <c r="C22" s="15">
        <f>500/2000</f>
        <v>0.25</v>
      </c>
      <c r="D22" s="14">
        <v>100</v>
      </c>
      <c r="E22" s="8">
        <f>ROUND(C22*D22,2)</f>
        <v>25</v>
      </c>
      <c r="F22" s="16">
        <v>0</v>
      </c>
      <c r="G22" s="8">
        <f>ROUND(E22*F22,2)</f>
        <v>0</v>
      </c>
      <c r="H22" s="8">
        <f>ROUND(E22-G22,2)</f>
        <v>25</v>
      </c>
      <c r="I22" s="8"/>
      <c r="J22" s="79"/>
      <c r="K22" s="79"/>
    </row>
    <row r="23" spans="1:11" ht="17.25" x14ac:dyDescent="0.25">
      <c r="A23" s="14" t="s">
        <v>65</v>
      </c>
      <c r="B23" s="14" t="s">
        <v>52</v>
      </c>
      <c r="C23" s="15">
        <f>500/2000</f>
        <v>0.25</v>
      </c>
      <c r="D23" s="14">
        <v>100</v>
      </c>
      <c r="E23" s="8">
        <f>ROUND(C23*D23,2)</f>
        <v>25</v>
      </c>
      <c r="F23" s="16">
        <v>0</v>
      </c>
      <c r="G23" s="8">
        <f>ROUND(E23*F23,2)</f>
        <v>0</v>
      </c>
      <c r="H23" s="8">
        <f>ROUND(E23-G23,2)</f>
        <v>25</v>
      </c>
      <c r="I23" s="8"/>
      <c r="J23" s="79"/>
      <c r="K23" s="79"/>
    </row>
    <row r="24" spans="1:11" ht="17.25" x14ac:dyDescent="0.25">
      <c r="A24" s="14" t="s">
        <v>64</v>
      </c>
      <c r="B24" s="14" t="s">
        <v>52</v>
      </c>
      <c r="C24" s="15">
        <f>(500/2000)+((0.46*41.98)/230)</f>
        <v>0.33396000000000003</v>
      </c>
      <c r="D24" s="14">
        <v>230</v>
      </c>
      <c r="E24" s="8">
        <f>ROUND(C24*D24,2)</f>
        <v>76.81</v>
      </c>
      <c r="F24" s="16">
        <v>0</v>
      </c>
      <c r="G24" s="8">
        <f>ROUND(E24*F24,2)</f>
        <v>0</v>
      </c>
      <c r="H24" s="8">
        <f>ROUND(E24-G24,2)</f>
        <v>76.81</v>
      </c>
      <c r="I24" s="8"/>
      <c r="J24" s="80">
        <f>SUM(H21:H24)</f>
        <v>157.26</v>
      </c>
      <c r="K24" s="79" t="s">
        <v>143</v>
      </c>
    </row>
    <row r="25" spans="1:11" x14ac:dyDescent="0.25">
      <c r="A25" s="13" t="s">
        <v>20</v>
      </c>
      <c r="J25" s="79"/>
      <c r="K25" s="79"/>
    </row>
    <row r="26" spans="1:11" ht="17.25" x14ac:dyDescent="0.25">
      <c r="A26" s="14" t="s">
        <v>54</v>
      </c>
      <c r="B26" s="14" t="s">
        <v>17</v>
      </c>
      <c r="C26" s="15">
        <f>5.38/2</f>
        <v>2.69</v>
      </c>
      <c r="D26" s="14">
        <v>2</v>
      </c>
      <c r="E26" s="8">
        <f t="shared" ref="E26:E34" si="0">ROUND(C26*D26,2)</f>
        <v>5.38</v>
      </c>
      <c r="F26" s="16">
        <v>0</v>
      </c>
      <c r="G26" s="8">
        <f t="shared" ref="G26:G33" si="1">ROUND(E26*F26,2)</f>
        <v>0</v>
      </c>
      <c r="H26" s="8">
        <f t="shared" ref="H26:H33" si="2">ROUND(E26-G26,2)</f>
        <v>5.38</v>
      </c>
      <c r="I26" s="8"/>
      <c r="J26" s="79"/>
      <c r="K26" s="79"/>
    </row>
    <row r="27" spans="1:11" ht="17.25" x14ac:dyDescent="0.25">
      <c r="A27" s="14" t="s">
        <v>56</v>
      </c>
      <c r="B27" s="14" t="s">
        <v>19</v>
      </c>
      <c r="C27" s="15">
        <v>0.732421875</v>
      </c>
      <c r="D27" s="14">
        <v>12.8</v>
      </c>
      <c r="E27" s="8">
        <f t="shared" si="0"/>
        <v>9.3800000000000008</v>
      </c>
      <c r="F27" s="16">
        <v>0</v>
      </c>
      <c r="G27" s="8">
        <f t="shared" si="1"/>
        <v>0</v>
      </c>
      <c r="H27" s="8">
        <f t="shared" si="2"/>
        <v>9.3800000000000008</v>
      </c>
      <c r="I27" s="8"/>
      <c r="J27" s="79"/>
      <c r="K27" s="79"/>
    </row>
    <row r="28" spans="1:11" ht="17.25" x14ac:dyDescent="0.25">
      <c r="A28" s="14" t="s">
        <v>57</v>
      </c>
      <c r="B28" s="14" t="s">
        <v>19</v>
      </c>
      <c r="C28" s="15">
        <f>425/128</f>
        <v>3.3203125</v>
      </c>
      <c r="D28" s="14">
        <v>5</v>
      </c>
      <c r="E28" s="8">
        <f t="shared" si="0"/>
        <v>16.600000000000001</v>
      </c>
      <c r="F28" s="16">
        <v>0</v>
      </c>
      <c r="G28" s="8">
        <f t="shared" si="1"/>
        <v>0</v>
      </c>
      <c r="H28" s="8">
        <f t="shared" si="2"/>
        <v>16.600000000000001</v>
      </c>
      <c r="I28" s="8"/>
      <c r="J28" s="79"/>
      <c r="K28" s="79"/>
    </row>
    <row r="29" spans="1:11" ht="17.25" x14ac:dyDescent="0.25">
      <c r="A29" s="14" t="s">
        <v>58</v>
      </c>
      <c r="B29" s="14" t="s">
        <v>17</v>
      </c>
      <c r="C29" s="15">
        <f>C26</f>
        <v>2.69</v>
      </c>
      <c r="D29" s="14">
        <v>2</v>
      </c>
      <c r="E29" s="8">
        <f t="shared" si="0"/>
        <v>5.38</v>
      </c>
      <c r="F29" s="16">
        <v>0</v>
      </c>
      <c r="G29" s="8">
        <f t="shared" si="1"/>
        <v>0</v>
      </c>
      <c r="H29" s="8">
        <f t="shared" si="2"/>
        <v>5.38</v>
      </c>
      <c r="I29" s="8"/>
      <c r="J29" s="79"/>
      <c r="K29" s="79"/>
    </row>
    <row r="30" spans="1:11" ht="17.25" x14ac:dyDescent="0.25">
      <c r="A30" s="14" t="s">
        <v>59</v>
      </c>
      <c r="B30" s="14" t="s">
        <v>17</v>
      </c>
      <c r="C30" s="15">
        <f>49/8</f>
        <v>6.125</v>
      </c>
      <c r="D30" s="14">
        <v>2.1</v>
      </c>
      <c r="E30" s="8">
        <f t="shared" si="0"/>
        <v>12.86</v>
      </c>
      <c r="F30" s="16">
        <v>0</v>
      </c>
      <c r="G30" s="8">
        <f t="shared" si="1"/>
        <v>0</v>
      </c>
      <c r="H30" s="8">
        <f t="shared" si="2"/>
        <v>12.86</v>
      </c>
      <c r="I30" s="8"/>
      <c r="J30" s="79"/>
      <c r="K30" s="79"/>
    </row>
    <row r="31" spans="1:11" ht="17.25" x14ac:dyDescent="0.25">
      <c r="A31" s="14" t="s">
        <v>60</v>
      </c>
      <c r="B31" s="14" t="s">
        <v>19</v>
      </c>
      <c r="C31" s="15">
        <f>C28</f>
        <v>3.3203125</v>
      </c>
      <c r="D31" s="14">
        <v>5</v>
      </c>
      <c r="E31" s="8">
        <f t="shared" si="0"/>
        <v>16.600000000000001</v>
      </c>
      <c r="F31" s="16">
        <v>0</v>
      </c>
      <c r="G31" s="8">
        <f t="shared" si="1"/>
        <v>0</v>
      </c>
      <c r="H31" s="8">
        <f t="shared" si="2"/>
        <v>16.600000000000001</v>
      </c>
      <c r="I31" s="8"/>
      <c r="J31" s="79"/>
      <c r="K31" s="79"/>
    </row>
    <row r="32" spans="1:11" ht="17.25" x14ac:dyDescent="0.25">
      <c r="A32" s="14" t="s">
        <v>61</v>
      </c>
      <c r="B32" s="14" t="s">
        <v>19</v>
      </c>
      <c r="C32" s="15">
        <v>18.100000000000001</v>
      </c>
      <c r="D32" s="14">
        <v>0.75</v>
      </c>
      <c r="E32" s="8">
        <f t="shared" si="0"/>
        <v>13.58</v>
      </c>
      <c r="F32" s="16">
        <v>0</v>
      </c>
      <c r="G32" s="8">
        <f t="shared" si="1"/>
        <v>0</v>
      </c>
      <c r="H32" s="8">
        <f t="shared" si="2"/>
        <v>13.58</v>
      </c>
      <c r="I32" s="8"/>
      <c r="J32" s="79"/>
      <c r="K32" s="79"/>
    </row>
    <row r="33" spans="1:11" ht="17.25" x14ac:dyDescent="0.25">
      <c r="A33" s="14" t="s">
        <v>62</v>
      </c>
      <c r="B33" s="14" t="s">
        <v>19</v>
      </c>
      <c r="C33" s="15">
        <v>3.39</v>
      </c>
      <c r="D33" s="14">
        <v>5</v>
      </c>
      <c r="E33" s="8">
        <f t="shared" si="0"/>
        <v>16.95</v>
      </c>
      <c r="F33" s="16">
        <v>0</v>
      </c>
      <c r="G33" s="8">
        <f t="shared" si="1"/>
        <v>0</v>
      </c>
      <c r="H33" s="8">
        <f t="shared" si="2"/>
        <v>16.95</v>
      </c>
      <c r="I33" s="8"/>
      <c r="J33" s="79"/>
      <c r="K33" s="79"/>
    </row>
    <row r="34" spans="1:11" ht="17.25" x14ac:dyDescent="0.25">
      <c r="A34" s="14" t="s">
        <v>63</v>
      </c>
      <c r="B34" s="14" t="s">
        <v>17</v>
      </c>
      <c r="C34" s="15">
        <f>81.7/8</f>
        <v>10.2125</v>
      </c>
      <c r="D34" s="14">
        <v>1.5</v>
      </c>
      <c r="E34" s="8">
        <f t="shared" si="0"/>
        <v>15.32</v>
      </c>
      <c r="F34" s="16">
        <v>0</v>
      </c>
      <c r="G34" s="8">
        <f t="shared" ref="G34" si="3">ROUND(E34*F34,2)</f>
        <v>0</v>
      </c>
      <c r="H34" s="8">
        <f t="shared" ref="H34" si="4">ROUND(E34-G34,2)</f>
        <v>15.32</v>
      </c>
      <c r="I34" s="8"/>
      <c r="J34" s="80">
        <f>SUM(H26:H34)</f>
        <v>112.05000000000001</v>
      </c>
      <c r="K34" s="79" t="s">
        <v>142</v>
      </c>
    </row>
    <row r="35" spans="1:11" x14ac:dyDescent="0.25">
      <c r="A35" s="13" t="s">
        <v>21</v>
      </c>
      <c r="J35" s="79"/>
      <c r="K35" s="79"/>
    </row>
    <row r="36" spans="1:11" ht="17.25" x14ac:dyDescent="0.25">
      <c r="A36" s="14" t="s">
        <v>127</v>
      </c>
      <c r="B36" s="14" t="s">
        <v>19</v>
      </c>
      <c r="C36" s="15">
        <v>1.1299999999999999</v>
      </c>
      <c r="D36" s="14">
        <v>8</v>
      </c>
      <c r="E36" s="8">
        <f>ROUND(C36*D36,2)</f>
        <v>9.0399999999999991</v>
      </c>
      <c r="F36" s="16">
        <v>0</v>
      </c>
      <c r="G36" s="8">
        <f>ROUND(E36*F36,2)</f>
        <v>0</v>
      </c>
      <c r="H36" s="8">
        <f>ROUND(E36-G36,2)</f>
        <v>9.0399999999999991</v>
      </c>
      <c r="I36" s="8"/>
      <c r="J36" s="79"/>
      <c r="K36" s="79"/>
    </row>
    <row r="37" spans="1:11" x14ac:dyDescent="0.25">
      <c r="A37" s="13" t="s">
        <v>18</v>
      </c>
      <c r="J37" s="79"/>
      <c r="K37" s="79"/>
    </row>
    <row r="38" spans="1:11" ht="17.25" x14ac:dyDescent="0.25">
      <c r="A38" s="14" t="s">
        <v>130</v>
      </c>
      <c r="B38" s="14" t="s">
        <v>19</v>
      </c>
      <c r="C38" s="15">
        <f>69/128</f>
        <v>0.5390625</v>
      </c>
      <c r="D38" s="14">
        <v>21</v>
      </c>
      <c r="E38" s="8">
        <f>ROUND(C38*D38,2)</f>
        <v>11.32</v>
      </c>
      <c r="F38" s="16">
        <v>0</v>
      </c>
      <c r="G38" s="8">
        <f>ROUND(E38*F38,2)</f>
        <v>0</v>
      </c>
      <c r="H38" s="8">
        <f>ROUND(E38-G38,2)</f>
        <v>11.32</v>
      </c>
      <c r="I38" s="8"/>
      <c r="J38" s="80">
        <f>J34+H36+H38</f>
        <v>132.41</v>
      </c>
      <c r="K38" s="79" t="s">
        <v>141</v>
      </c>
    </row>
    <row r="39" spans="1:11" x14ac:dyDescent="0.25">
      <c r="A39" s="13" t="s">
        <v>24</v>
      </c>
      <c r="J39" s="79"/>
      <c r="K39" s="79"/>
    </row>
    <row r="40" spans="1:11" x14ac:dyDescent="0.25">
      <c r="A40" s="13" t="s">
        <v>25</v>
      </c>
      <c r="J40" s="79"/>
      <c r="K40" s="79"/>
    </row>
    <row r="41" spans="1:11" x14ac:dyDescent="0.25">
      <c r="A41" s="14" t="s">
        <v>26</v>
      </c>
      <c r="B41" s="14" t="s">
        <v>11</v>
      </c>
      <c r="C41" s="15">
        <v>0.27</v>
      </c>
      <c r="D41" s="14">
        <v>170</v>
      </c>
      <c r="E41" s="8">
        <f>ROUND(C41*D41,2)</f>
        <v>45.9</v>
      </c>
      <c r="F41" s="16">
        <v>0</v>
      </c>
      <c r="G41" s="8">
        <f>ROUND(E41*F41,2)</f>
        <v>0</v>
      </c>
      <c r="H41" s="8">
        <f>ROUND(E41-G41,2)</f>
        <v>45.9</v>
      </c>
      <c r="I41" s="8"/>
      <c r="J41" s="79"/>
      <c r="K41" s="79"/>
    </row>
    <row r="42" spans="1:11" x14ac:dyDescent="0.25">
      <c r="A42" s="13" t="s">
        <v>27</v>
      </c>
      <c r="J42" s="79"/>
      <c r="K42" s="79"/>
    </row>
    <row r="43" spans="1:11" x14ac:dyDescent="0.25">
      <c r="A43" s="14" t="s">
        <v>28</v>
      </c>
      <c r="B43" s="14" t="s">
        <v>11</v>
      </c>
      <c r="C43" s="15">
        <v>0.4</v>
      </c>
      <c r="D43" s="14">
        <v>170</v>
      </c>
      <c r="E43" s="8">
        <f>ROUND(C43*D43,2)</f>
        <v>68</v>
      </c>
      <c r="F43" s="16">
        <v>0</v>
      </c>
      <c r="G43" s="8">
        <f>ROUND(E43*F43,2)</f>
        <v>0</v>
      </c>
      <c r="H43" s="8">
        <f>ROUND(E43-G43,2)</f>
        <v>68</v>
      </c>
      <c r="I43" s="8"/>
      <c r="J43" s="79"/>
      <c r="K43" s="79"/>
    </row>
    <row r="44" spans="1:11" x14ac:dyDescent="0.25">
      <c r="A44" s="13" t="s">
        <v>29</v>
      </c>
      <c r="J44" s="79"/>
      <c r="K44" s="79"/>
    </row>
    <row r="45" spans="1:11" x14ac:dyDescent="0.25">
      <c r="A45" s="14" t="s">
        <v>30</v>
      </c>
      <c r="B45" s="14" t="s">
        <v>31</v>
      </c>
      <c r="C45" s="15">
        <v>4.5</v>
      </c>
      <c r="D45" s="14">
        <v>1</v>
      </c>
      <c r="E45" s="8">
        <f>ROUND(C45*D45,2)</f>
        <v>4.5</v>
      </c>
      <c r="F45" s="16">
        <v>0</v>
      </c>
      <c r="G45" s="8">
        <f>ROUND(E45*F45,2)</f>
        <v>0</v>
      </c>
      <c r="H45" s="8">
        <f>ROUND(E45-G45,2)</f>
        <v>4.5</v>
      </c>
      <c r="I45" s="8"/>
      <c r="J45" s="79"/>
      <c r="K45" s="79"/>
    </row>
    <row r="46" spans="1:11" x14ac:dyDescent="0.25">
      <c r="A46" s="13" t="s">
        <v>66</v>
      </c>
      <c r="J46" s="79"/>
      <c r="K46" s="79"/>
    </row>
    <row r="47" spans="1:11" x14ac:dyDescent="0.25">
      <c r="A47" s="14" t="s">
        <v>32</v>
      </c>
      <c r="B47" s="14" t="s">
        <v>31</v>
      </c>
      <c r="C47" s="15">
        <v>8</v>
      </c>
      <c r="D47" s="14">
        <v>1</v>
      </c>
      <c r="E47" s="8">
        <f>ROUND(C47*D47,2)</f>
        <v>8</v>
      </c>
      <c r="F47" s="16">
        <v>0</v>
      </c>
      <c r="G47" s="8">
        <f>ROUND(E47*F47,2)</f>
        <v>0</v>
      </c>
      <c r="H47" s="8">
        <f>ROUND(E47-G47,2)</f>
        <v>8</v>
      </c>
      <c r="I47" s="8"/>
      <c r="J47" s="79"/>
      <c r="K47" s="79"/>
    </row>
    <row r="48" spans="1:11" x14ac:dyDescent="0.25">
      <c r="A48" s="13" t="s">
        <v>119</v>
      </c>
      <c r="I48" s="8"/>
      <c r="J48" s="79"/>
      <c r="K48" s="79"/>
    </row>
    <row r="49" spans="1:11" x14ac:dyDescent="0.25">
      <c r="A49" s="14" t="s">
        <v>120</v>
      </c>
      <c r="B49" s="14" t="s">
        <v>31</v>
      </c>
      <c r="C49" s="15">
        <v>10.29</v>
      </c>
      <c r="D49" s="14">
        <v>1</v>
      </c>
      <c r="E49" s="8">
        <f>ROUND(C49*D49,2)</f>
        <v>10.29</v>
      </c>
      <c r="F49" s="16">
        <v>0</v>
      </c>
      <c r="G49" s="8">
        <f>ROUND(E49*F49,2)</f>
        <v>0</v>
      </c>
      <c r="H49" s="8">
        <f>ROUND(E49-G49,2)</f>
        <v>10.29</v>
      </c>
      <c r="I49" s="8"/>
      <c r="J49" s="79"/>
      <c r="K49" s="79"/>
    </row>
    <row r="50" spans="1:11" x14ac:dyDescent="0.25">
      <c r="A50" s="13" t="s">
        <v>33</v>
      </c>
      <c r="J50" s="79"/>
      <c r="K50" s="79"/>
    </row>
    <row r="51" spans="1:11" x14ac:dyDescent="0.25">
      <c r="A51" s="14" t="s">
        <v>34</v>
      </c>
      <c r="B51" s="14" t="s">
        <v>35</v>
      </c>
      <c r="C51" s="15">
        <v>16.54</v>
      </c>
      <c r="D51" s="65">
        <f>5.44/16.54</f>
        <v>0.32889963724304722</v>
      </c>
      <c r="E51" s="8">
        <f>ROUND(C51*D51,2)</f>
        <v>5.44</v>
      </c>
      <c r="F51" s="16">
        <v>0</v>
      </c>
      <c r="G51" s="8">
        <f>ROUND(E51*F51,2)</f>
        <v>0</v>
      </c>
      <c r="H51" s="8">
        <f>ROUND(E51-G51,2)</f>
        <v>5.44</v>
      </c>
      <c r="I51" s="8"/>
      <c r="J51" s="79"/>
      <c r="K51" s="79"/>
    </row>
    <row r="52" spans="1:11" x14ac:dyDescent="0.25">
      <c r="A52" s="14" t="s">
        <v>36</v>
      </c>
      <c r="B52" s="14" t="s">
        <v>35</v>
      </c>
      <c r="C52" s="15">
        <v>16.54</v>
      </c>
      <c r="D52" s="65">
        <f>2.45/16.54</f>
        <v>0.14812575574365178</v>
      </c>
      <c r="E52" s="8">
        <f>ROUND(C52*D52,2)</f>
        <v>2.4500000000000002</v>
      </c>
      <c r="F52" s="16">
        <v>0</v>
      </c>
      <c r="G52" s="8">
        <f>ROUND(E52*F52,2)</f>
        <v>0</v>
      </c>
      <c r="H52" s="8">
        <f>ROUND(E52-G52,2)</f>
        <v>2.4500000000000002</v>
      </c>
      <c r="I52" s="8"/>
      <c r="J52" s="79"/>
      <c r="K52" s="79"/>
    </row>
    <row r="53" spans="1:11" x14ac:dyDescent="0.25">
      <c r="A53" s="13" t="s">
        <v>126</v>
      </c>
      <c r="B53" s="14"/>
      <c r="C53" s="15"/>
      <c r="D53" s="14"/>
      <c r="F53" s="16"/>
      <c r="G53" s="8"/>
      <c r="H53" s="8"/>
      <c r="I53" s="8"/>
      <c r="J53" s="79"/>
      <c r="K53" s="79"/>
    </row>
    <row r="54" spans="1:11" x14ac:dyDescent="0.25">
      <c r="A54" s="14" t="s">
        <v>37</v>
      </c>
      <c r="B54" s="14" t="s">
        <v>35</v>
      </c>
      <c r="C54" s="15">
        <v>13.5</v>
      </c>
      <c r="D54" s="14">
        <v>3.5249999999999999</v>
      </c>
      <c r="E54" s="8">
        <f>ROUND(C54*D54,2)</f>
        <v>47.59</v>
      </c>
      <c r="F54" s="16">
        <v>0</v>
      </c>
      <c r="G54" s="8">
        <f>ROUND(E54*F54,2)</f>
        <v>0</v>
      </c>
      <c r="H54" s="8">
        <f>ROUND(E54-G54,2)</f>
        <v>47.59</v>
      </c>
      <c r="I54" s="8"/>
      <c r="J54" s="79"/>
      <c r="K54" s="79"/>
    </row>
    <row r="55" spans="1:11" x14ac:dyDescent="0.25">
      <c r="A55" s="13" t="s">
        <v>38</v>
      </c>
      <c r="I55" s="8"/>
      <c r="J55" s="79"/>
      <c r="K55" s="79"/>
    </row>
    <row r="56" spans="1:11" x14ac:dyDescent="0.25">
      <c r="A56" s="14" t="s">
        <v>34</v>
      </c>
      <c r="B56" s="14" t="s">
        <v>39</v>
      </c>
      <c r="C56" s="15">
        <v>3.65</v>
      </c>
      <c r="D56" s="66">
        <f>12.68/3.65</f>
        <v>3.473972602739726</v>
      </c>
      <c r="E56" s="8">
        <f>ROUND(C56*D56,2)</f>
        <v>12.68</v>
      </c>
      <c r="F56" s="16">
        <v>0</v>
      </c>
      <c r="G56" s="8">
        <f>ROUND(E56*F56,2)</f>
        <v>0</v>
      </c>
      <c r="H56" s="8">
        <f>ROUND(E56-G56,2)</f>
        <v>12.68</v>
      </c>
      <c r="I56" s="8"/>
      <c r="J56" s="79"/>
      <c r="K56" s="79"/>
    </row>
    <row r="57" spans="1:11" x14ac:dyDescent="0.25">
      <c r="A57" s="14" t="s">
        <v>36</v>
      </c>
      <c r="B57" s="14" t="s">
        <v>39</v>
      </c>
      <c r="C57" s="15">
        <v>3.65</v>
      </c>
      <c r="D57" s="66">
        <f>7.4/3.65</f>
        <v>2.0273972602739727</v>
      </c>
      <c r="E57" s="8">
        <f>ROUND(C57*D57,2)</f>
        <v>7.4</v>
      </c>
      <c r="F57" s="16">
        <v>0</v>
      </c>
      <c r="G57" s="8">
        <f>ROUND(E57*F57,2)</f>
        <v>0</v>
      </c>
      <c r="H57" s="8">
        <f>ROUND(E57-G57,2)</f>
        <v>7.4</v>
      </c>
      <c r="J57" s="81">
        <f>SUM(D56:D58)</f>
        <v>40.93424657534247</v>
      </c>
      <c r="K57" s="79" t="s">
        <v>140</v>
      </c>
    </row>
    <row r="58" spans="1:11" x14ac:dyDescent="0.25">
      <c r="A58" s="14" t="s">
        <v>40</v>
      </c>
      <c r="B58" s="14" t="s">
        <v>39</v>
      </c>
      <c r="C58" s="15">
        <v>3.65</v>
      </c>
      <c r="D58" s="65">
        <f>129.33/3.65</f>
        <v>35.43287671232877</v>
      </c>
      <c r="E58" s="8">
        <f>ROUND(C58*D58,2)</f>
        <v>129.33000000000001</v>
      </c>
      <c r="F58" s="16">
        <v>0</v>
      </c>
      <c r="G58" s="8">
        <f>ROUND(E58*F58,2)</f>
        <v>0</v>
      </c>
      <c r="H58" s="8">
        <f>ROUND(E58-G58,2)</f>
        <v>129.33000000000001</v>
      </c>
      <c r="I58" s="8"/>
      <c r="J58" s="80">
        <f>SUM(H56:H58)</f>
        <v>149.41000000000003</v>
      </c>
      <c r="K58" s="79" t="s">
        <v>139</v>
      </c>
    </row>
    <row r="59" spans="1:11" x14ac:dyDescent="0.25">
      <c r="A59" s="13" t="s">
        <v>41</v>
      </c>
      <c r="I59" s="8"/>
      <c r="J59" s="79"/>
      <c r="K59" s="79"/>
    </row>
    <row r="60" spans="1:11" x14ac:dyDescent="0.25">
      <c r="A60" s="14" t="s">
        <v>129</v>
      </c>
      <c r="B60" s="14" t="s">
        <v>31</v>
      </c>
      <c r="C60" s="15">
        <v>7.65</v>
      </c>
      <c r="D60" s="14">
        <v>1</v>
      </c>
      <c r="E60" s="8">
        <f>ROUND(C60*D60,2)</f>
        <v>7.65</v>
      </c>
      <c r="F60" s="16">
        <v>0</v>
      </c>
      <c r="G60" s="8">
        <f>ROUND(E60*F60,2)</f>
        <v>0</v>
      </c>
      <c r="H60" s="8">
        <f t="shared" ref="H60:H65" si="5">ROUND(E60-G60,2)</f>
        <v>7.65</v>
      </c>
      <c r="I60" s="8"/>
      <c r="J60" s="79"/>
      <c r="K60" s="79"/>
    </row>
    <row r="61" spans="1:11" x14ac:dyDescent="0.25">
      <c r="A61" s="14" t="s">
        <v>36</v>
      </c>
      <c r="B61" s="14" t="s">
        <v>31</v>
      </c>
      <c r="C61" s="15">
        <v>10.75</v>
      </c>
      <c r="D61" s="14">
        <v>1</v>
      </c>
      <c r="E61" s="8">
        <f>ROUND(C61*D61,2)</f>
        <v>10.75</v>
      </c>
      <c r="F61" s="16">
        <v>0</v>
      </c>
      <c r="G61" s="8">
        <f>ROUND(E61*F61,2)</f>
        <v>0</v>
      </c>
      <c r="H61" s="8">
        <f t="shared" si="5"/>
        <v>10.75</v>
      </c>
      <c r="I61" s="18"/>
      <c r="J61" s="79"/>
      <c r="K61" s="79"/>
    </row>
    <row r="62" spans="1:11" x14ac:dyDescent="0.25">
      <c r="A62" s="14" t="s">
        <v>40</v>
      </c>
      <c r="B62" s="14" t="s">
        <v>31</v>
      </c>
      <c r="C62" s="15">
        <v>7.92</v>
      </c>
      <c r="D62" s="14">
        <v>1</v>
      </c>
      <c r="E62" s="8">
        <f>ROUND(C62*D62,2)</f>
        <v>7.92</v>
      </c>
      <c r="F62" s="16">
        <v>0</v>
      </c>
      <c r="G62" s="8">
        <f>ROUND(E62*F62,2)</f>
        <v>0</v>
      </c>
      <c r="H62" s="8">
        <f t="shared" si="5"/>
        <v>7.92</v>
      </c>
      <c r="I62" s="12"/>
      <c r="J62" s="80">
        <f>SUM(H60:H62)</f>
        <v>26.32</v>
      </c>
      <c r="K62" s="79" t="s">
        <v>138</v>
      </c>
    </row>
    <row r="63" spans="1:11" ht="15" customHeight="1" x14ac:dyDescent="0.25">
      <c r="A63" s="9" t="s">
        <v>42</v>
      </c>
      <c r="B63" s="9" t="s">
        <v>31</v>
      </c>
      <c r="C63" s="10">
        <v>33.28</v>
      </c>
      <c r="D63" s="9">
        <v>1</v>
      </c>
      <c r="E63" s="2">
        <f>ROUND(C63*D63,2)</f>
        <v>33.28</v>
      </c>
      <c r="F63" s="11">
        <v>0</v>
      </c>
      <c r="G63" s="2">
        <f>ROUND(E63*F63,2)</f>
        <v>0</v>
      </c>
      <c r="H63" s="2">
        <f t="shared" si="5"/>
        <v>33.28</v>
      </c>
      <c r="I63" s="12"/>
      <c r="J63" s="79"/>
      <c r="K63" s="79"/>
    </row>
    <row r="64" spans="1:11" x14ac:dyDescent="0.25">
      <c r="A64" s="7" t="s">
        <v>43</v>
      </c>
      <c r="E64" s="8">
        <f>SUM(E14:E63)</f>
        <v>889.47</v>
      </c>
      <c r="G64" s="12">
        <f>SUM(G17:G63)</f>
        <v>0</v>
      </c>
      <c r="H64" s="12">
        <f t="shared" si="5"/>
        <v>889.47</v>
      </c>
      <c r="J64" s="79"/>
      <c r="K64" s="79"/>
    </row>
    <row r="65" spans="1:11" x14ac:dyDescent="0.25">
      <c r="A65" s="7" t="s">
        <v>44</v>
      </c>
      <c r="E65" s="8">
        <f>+E8-E64</f>
        <v>258.02999999999997</v>
      </c>
      <c r="G65" s="12">
        <f>+G8-G64</f>
        <v>0</v>
      </c>
      <c r="H65" s="12">
        <f t="shared" si="5"/>
        <v>258.02999999999997</v>
      </c>
      <c r="J65" s="79"/>
      <c r="K65" s="79"/>
    </row>
    <row r="66" spans="1:11" ht="6.75" customHeight="1" x14ac:dyDescent="0.25">
      <c r="A66" t="s">
        <v>13</v>
      </c>
      <c r="I66" s="8"/>
      <c r="J66" s="79"/>
      <c r="K66" s="79"/>
    </row>
    <row r="67" spans="1:11" x14ac:dyDescent="0.25">
      <c r="A67" s="7" t="s">
        <v>45</v>
      </c>
      <c r="I67" s="8"/>
      <c r="J67" s="79"/>
      <c r="K67" s="79"/>
    </row>
    <row r="68" spans="1:11" x14ac:dyDescent="0.25">
      <c r="A68" s="14" t="s">
        <v>69</v>
      </c>
      <c r="B68" s="14" t="s">
        <v>31</v>
      </c>
      <c r="C68" s="15">
        <v>42.65</v>
      </c>
      <c r="D68" s="14">
        <v>1</v>
      </c>
      <c r="E68" s="8">
        <f>ROUND(C68*D68,2)</f>
        <v>42.65</v>
      </c>
      <c r="F68" s="16">
        <v>0</v>
      </c>
      <c r="G68" s="8">
        <f>ROUND(E68*F68,2)</f>
        <v>0</v>
      </c>
      <c r="H68" s="8">
        <f t="shared" ref="H68:H73" si="6">ROUND(E68-G68,2)</f>
        <v>42.65</v>
      </c>
      <c r="I68" s="18"/>
      <c r="J68" s="79"/>
      <c r="K68" s="79"/>
    </row>
    <row r="69" spans="1:11" x14ac:dyDescent="0.25">
      <c r="A69" s="14" t="s">
        <v>36</v>
      </c>
      <c r="B69" s="14" t="s">
        <v>31</v>
      </c>
      <c r="C69" s="15">
        <v>36.76</v>
      </c>
      <c r="D69" s="14">
        <v>1</v>
      </c>
      <c r="E69" s="8">
        <f>ROUND(C69*D69,2)</f>
        <v>36.76</v>
      </c>
      <c r="F69" s="16">
        <v>0</v>
      </c>
      <c r="G69" s="8">
        <f>ROUND(E69*F69,2)</f>
        <v>0</v>
      </c>
      <c r="H69" s="8">
        <f t="shared" si="6"/>
        <v>36.76</v>
      </c>
      <c r="I69" s="12"/>
      <c r="J69" s="79"/>
      <c r="K69" s="79"/>
    </row>
    <row r="70" spans="1:11" x14ac:dyDescent="0.25">
      <c r="A70" s="9" t="s">
        <v>40</v>
      </c>
      <c r="B70" s="9" t="s">
        <v>31</v>
      </c>
      <c r="C70" s="10">
        <v>55.82</v>
      </c>
      <c r="D70" s="9">
        <v>1</v>
      </c>
      <c r="E70" s="2">
        <f>ROUND(C70*D70,2)</f>
        <v>55.82</v>
      </c>
      <c r="F70" s="11">
        <v>0</v>
      </c>
      <c r="G70" s="2">
        <f>ROUND(E70*F70,2)</f>
        <v>0</v>
      </c>
      <c r="H70" s="2">
        <f t="shared" si="6"/>
        <v>55.82</v>
      </c>
      <c r="I70" s="12"/>
      <c r="J70" s="79"/>
      <c r="K70" s="79"/>
    </row>
    <row r="71" spans="1:11" x14ac:dyDescent="0.25">
      <c r="A71" s="7" t="s">
        <v>46</v>
      </c>
      <c r="E71" s="8">
        <f>SUM(E68:E70)</f>
        <v>135.22999999999999</v>
      </c>
      <c r="G71" s="12">
        <f>SUM(G68:G70)</f>
        <v>0</v>
      </c>
      <c r="H71" s="12">
        <f t="shared" si="6"/>
        <v>135.22999999999999</v>
      </c>
      <c r="I71" s="12"/>
      <c r="J71" s="79"/>
      <c r="K71" s="79"/>
    </row>
    <row r="72" spans="1:11" x14ac:dyDescent="0.25">
      <c r="A72" s="7" t="s">
        <v>47</v>
      </c>
      <c r="E72" s="8">
        <f>+E64+E71</f>
        <v>1024.7</v>
      </c>
      <c r="G72" s="12">
        <f>+G64+G71</f>
        <v>0</v>
      </c>
      <c r="H72" s="12">
        <f t="shared" si="6"/>
        <v>1024.7</v>
      </c>
      <c r="J72" s="79"/>
      <c r="K72" s="79"/>
    </row>
    <row r="73" spans="1:11" x14ac:dyDescent="0.25">
      <c r="A73" s="7" t="s">
        <v>48</v>
      </c>
      <c r="E73" s="67">
        <f>+E8-E72</f>
        <v>122.79999999999995</v>
      </c>
      <c r="G73" s="12">
        <f>+G8-G72</f>
        <v>0</v>
      </c>
      <c r="H73" s="68">
        <f t="shared" si="6"/>
        <v>122.8</v>
      </c>
      <c r="J73" s="79"/>
      <c r="K73" s="79"/>
    </row>
    <row r="74" spans="1:11" ht="8.25" customHeight="1" x14ac:dyDescent="0.25">
      <c r="A74" t="s">
        <v>131</v>
      </c>
      <c r="J74" s="79"/>
      <c r="K74" s="79"/>
    </row>
    <row r="75" spans="1:11" ht="8.25" customHeight="1" x14ac:dyDescent="0.25">
      <c r="J75" s="79"/>
      <c r="K75" s="79"/>
    </row>
    <row r="76" spans="1:11" ht="15" customHeight="1" x14ac:dyDescent="0.25">
      <c r="A76" s="76" t="s">
        <v>135</v>
      </c>
      <c r="B76" s="76"/>
      <c r="C76" s="76"/>
      <c r="D76" s="76"/>
      <c r="E76" s="76"/>
      <c r="F76" s="76"/>
      <c r="G76" s="76"/>
      <c r="H76" s="76"/>
      <c r="J76" s="79"/>
      <c r="K76" s="79"/>
    </row>
    <row r="77" spans="1:11" x14ac:dyDescent="0.25">
      <c r="A77" s="76"/>
      <c r="B77" s="76"/>
      <c r="C77" s="76"/>
      <c r="D77" s="76"/>
      <c r="E77" s="76"/>
      <c r="F77" s="76"/>
      <c r="G77" s="76"/>
      <c r="H77" s="76"/>
      <c r="J77" s="70"/>
      <c r="K77" s="70"/>
    </row>
    <row r="78" spans="1:11" ht="14.25" customHeight="1" x14ac:dyDescent="0.25">
      <c r="A78" s="71" t="s">
        <v>128</v>
      </c>
      <c r="B78" s="71"/>
      <c r="C78" s="71"/>
      <c r="D78" s="71"/>
      <c r="E78" s="71"/>
      <c r="F78" s="71"/>
      <c r="G78" s="71"/>
      <c r="H78" s="71"/>
    </row>
    <row r="79" spans="1:11" x14ac:dyDescent="0.25">
      <c r="A79" s="71"/>
      <c r="B79" s="71"/>
      <c r="C79" s="71"/>
      <c r="D79" s="71"/>
      <c r="E79" s="71"/>
      <c r="F79" s="71"/>
      <c r="G79" s="71"/>
      <c r="H79" s="71"/>
    </row>
    <row r="80" spans="1:11" x14ac:dyDescent="0.25">
      <c r="A80" s="71"/>
      <c r="B80" s="71"/>
      <c r="C80" s="71"/>
      <c r="D80" s="71"/>
      <c r="E80" s="71"/>
      <c r="F80" s="71"/>
      <c r="G80" s="71"/>
      <c r="H80" s="71"/>
    </row>
    <row r="81" spans="1:1" x14ac:dyDescent="0.25">
      <c r="A81" s="7"/>
    </row>
  </sheetData>
  <mergeCells count="6">
    <mergeCell ref="A78:H80"/>
    <mergeCell ref="A1:H1"/>
    <mergeCell ref="A2:H2"/>
    <mergeCell ref="A3:H3"/>
    <mergeCell ref="F4:G4"/>
    <mergeCell ref="A76:H77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1301-D5F0-419B-805C-2F0AF6CE0A8C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8.7109375" style="21" bestFit="1" customWidth="1"/>
    <col min="3" max="3" width="26.42578125" style="21" customWidth="1"/>
    <col min="4" max="4" width="41" style="21" bestFit="1" customWidth="1"/>
    <col min="5" max="5" width="20.7109375" style="21" bestFit="1" customWidth="1"/>
    <col min="6" max="16384" width="8.7109375" style="21"/>
  </cols>
  <sheetData>
    <row r="1" spans="1:26" s="19" customFormat="1" ht="13.5" thickBot="1" x14ac:dyDescent="0.25"/>
    <row r="2" spans="1:26" ht="15.75" customHeight="1" thickBot="1" x14ac:dyDescent="0.3">
      <c r="A2" s="77" t="s">
        <v>118</v>
      </c>
      <c r="B2" s="78"/>
      <c r="C2" s="78"/>
      <c r="D2" s="78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22" t="s">
        <v>70</v>
      </c>
      <c r="B3" s="23" t="s">
        <v>71</v>
      </c>
      <c r="C3" s="24" t="s">
        <v>72</v>
      </c>
      <c r="D3" s="25"/>
      <c r="E3" s="24" t="s">
        <v>73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26" t="s">
        <v>74</v>
      </c>
      <c r="B4" s="27" t="s">
        <v>75</v>
      </c>
      <c r="C4" s="28" t="s">
        <v>76</v>
      </c>
      <c r="D4" s="26"/>
      <c r="E4" s="29"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30" t="s">
        <v>77</v>
      </c>
      <c r="B5" s="27" t="s">
        <v>78</v>
      </c>
      <c r="C5" s="31" t="s">
        <v>79</v>
      </c>
      <c r="D5" s="32"/>
      <c r="E5" s="33">
        <v>4.4473625620426889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2">
      <c r="A6" s="30" t="s">
        <v>80</v>
      </c>
      <c r="B6" s="27" t="s">
        <v>81</v>
      </c>
      <c r="C6" s="28" t="s">
        <v>76</v>
      </c>
      <c r="D6" s="30"/>
      <c r="E6" s="29">
        <v>4.7117093872033111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34" t="s">
        <v>82</v>
      </c>
      <c r="B7" s="27"/>
      <c r="C7" s="28" t="s">
        <v>83</v>
      </c>
      <c r="D7" s="32"/>
      <c r="E7" s="33">
        <v>0.28494392213533959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35" t="s">
        <v>84</v>
      </c>
      <c r="B8" s="36"/>
      <c r="C8" s="37" t="s">
        <v>85</v>
      </c>
      <c r="D8" s="32" t="s">
        <v>86</v>
      </c>
      <c r="E8" s="33">
        <v>18.759999999999998</v>
      </c>
      <c r="F8" s="19"/>
      <c r="G8" s="19"/>
      <c r="H8" s="19"/>
      <c r="I8" s="3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0" t="s">
        <v>84</v>
      </c>
      <c r="B9" s="27"/>
      <c r="C9" s="37" t="s">
        <v>87</v>
      </c>
      <c r="D9" s="32" t="s">
        <v>88</v>
      </c>
      <c r="E9" s="33">
        <v>70.31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0" t="s">
        <v>89</v>
      </c>
      <c r="B10" s="27" t="s">
        <v>90</v>
      </c>
      <c r="C10" s="37" t="s">
        <v>91</v>
      </c>
      <c r="D10" s="32" t="s">
        <v>92</v>
      </c>
      <c r="E10" s="33">
        <v>126.28656168168676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0" t="s">
        <v>93</v>
      </c>
      <c r="B11" s="27"/>
      <c r="C11" s="37" t="s">
        <v>94</v>
      </c>
      <c r="D11" s="32"/>
      <c r="E11" s="33">
        <v>1.5513268049673099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30" t="s">
        <v>95</v>
      </c>
      <c r="B12" s="27"/>
      <c r="C12" s="37" t="s">
        <v>96</v>
      </c>
      <c r="D12" s="32"/>
      <c r="E12" s="33">
        <v>1.0050043923118712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39" t="s">
        <v>97</v>
      </c>
      <c r="B13" s="40"/>
      <c r="C13" s="37" t="s">
        <v>98</v>
      </c>
      <c r="D13" s="32" t="s">
        <v>99</v>
      </c>
      <c r="E13" s="33">
        <v>54.41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39" t="s">
        <v>97</v>
      </c>
      <c r="B14" s="40"/>
      <c r="C14" s="37" t="s">
        <v>98</v>
      </c>
      <c r="D14" s="41" t="s">
        <v>100</v>
      </c>
      <c r="E14" s="33">
        <v>39.088000000000001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39" t="s">
        <v>97</v>
      </c>
      <c r="B15" s="36"/>
      <c r="C15" s="37" t="s">
        <v>98</v>
      </c>
      <c r="D15" s="32" t="s">
        <v>101</v>
      </c>
      <c r="E15" s="33">
        <v>31.8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39" t="s">
        <v>97</v>
      </c>
      <c r="B16" s="27"/>
      <c r="C16" s="37" t="s">
        <v>87</v>
      </c>
      <c r="D16" s="42" t="s">
        <v>102</v>
      </c>
      <c r="E16" s="33">
        <v>107.28579999999999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39" t="s">
        <v>103</v>
      </c>
      <c r="B17" s="43"/>
      <c r="C17" s="37"/>
      <c r="D17" s="32"/>
      <c r="E17" s="4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39" t="s">
        <v>97</v>
      </c>
      <c r="B18" s="43"/>
      <c r="C18" s="37" t="s">
        <v>87</v>
      </c>
      <c r="D18" s="32" t="s">
        <v>104</v>
      </c>
      <c r="E18" s="33">
        <v>38.25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0" t="s">
        <v>97</v>
      </c>
      <c r="B19" s="27"/>
      <c r="C19" s="37" t="s">
        <v>105</v>
      </c>
      <c r="D19" s="69" t="s">
        <v>133</v>
      </c>
      <c r="E19" s="33">
        <v>17.54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30" t="s">
        <v>97</v>
      </c>
      <c r="B20" s="27"/>
      <c r="C20" s="37" t="s">
        <v>106</v>
      </c>
      <c r="D20" s="69" t="s">
        <v>134</v>
      </c>
      <c r="E20" s="33">
        <v>19.8203125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thickBot="1" x14ac:dyDescent="0.25">
      <c r="A21" s="45" t="s">
        <v>107</v>
      </c>
      <c r="B21" s="46"/>
      <c r="C21" s="47"/>
      <c r="D21" s="32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35" t="s">
        <v>108</v>
      </c>
      <c r="B22" s="36" t="s">
        <v>109</v>
      </c>
      <c r="C22" s="49" t="s">
        <v>110</v>
      </c>
      <c r="D22" s="25"/>
      <c r="E22" s="50">
        <v>21.482450880291843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35" t="s">
        <v>111</v>
      </c>
      <c r="B23" s="36" t="s">
        <v>112</v>
      </c>
      <c r="C23" s="49" t="s">
        <v>110</v>
      </c>
      <c r="D23" s="51"/>
      <c r="E23" s="52">
        <v>7.2378775283988324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53" t="s">
        <v>113</v>
      </c>
      <c r="B24" s="54"/>
      <c r="C24" s="55" t="s">
        <v>110</v>
      </c>
      <c r="D24" s="56"/>
      <c r="E24" s="57">
        <v>8.0384786802150892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26" t="s">
        <v>114</v>
      </c>
      <c r="B25" s="58"/>
      <c r="C25" s="59"/>
      <c r="D25" s="60"/>
      <c r="E25" s="29">
        <v>0.76509735505608079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thickBot="1" x14ac:dyDescent="0.25">
      <c r="A26" s="53" t="s">
        <v>115</v>
      </c>
      <c r="B26" s="54" t="s">
        <v>75</v>
      </c>
      <c r="C26" s="55" t="s">
        <v>116</v>
      </c>
      <c r="D26" s="61"/>
      <c r="E26" s="62">
        <v>5.3133724968123381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63" t="s">
        <v>117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2023-12-18T19:49:41Z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