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Sheet1" sheetId="1" r:id="rId1"/>
    <sheet name="Sheet2" sheetId="2" state="hidden" r:id="rId2"/>
  </sheets>
  <calcPr calcId="125725"/>
  <fileRecoveryPr repairLoad="1"/>
</workbook>
</file>

<file path=xl/calcChain.xml><?xml version="1.0" encoding="utf-8"?>
<calcChain xmlns="http://schemas.openxmlformats.org/spreadsheetml/2006/main">
  <c r="C30" i="1"/>
  <c r="C29"/>
  <c r="C28"/>
  <c r="C27"/>
  <c r="C26"/>
  <c r="G25"/>
  <c r="C25"/>
  <c r="C24"/>
  <c r="C23"/>
  <c r="C22"/>
  <c r="C21"/>
  <c r="C20"/>
  <c r="J19"/>
  <c r="C19"/>
  <c r="J18"/>
  <c r="C18"/>
  <c r="C17"/>
  <c r="E13"/>
  <c r="E9"/>
  <c r="E10" s="1"/>
  <c r="F27" l="1"/>
  <c r="F29"/>
  <c r="F25"/>
  <c r="F20"/>
  <c r="F18"/>
  <c r="F17"/>
  <c r="F19"/>
  <c r="F24"/>
  <c r="F23"/>
  <c r="F22"/>
  <c r="F21"/>
  <c r="F26"/>
  <c r="F28"/>
  <c r="F30"/>
</calcChain>
</file>

<file path=xl/comments1.xml><?xml version="1.0" encoding="utf-8"?>
<comments xmlns="http://schemas.openxmlformats.org/spreadsheetml/2006/main">
  <authors>
    <author/>
  </authors>
  <commentList>
    <comment ref="C16" authorId="0">
      <text>
        <r>
          <rPr>
            <b/>
            <sz val="8"/>
            <color rgb="FF313739"/>
            <rFont val="Tahoma"/>
            <family val="2"/>
          </rPr>
          <t xml:space="preserve">Shane Gadberry:
</t>
        </r>
        <r>
          <rPr>
            <sz val="8"/>
            <color rgb="FF313739"/>
            <rFont val="Tahoma"/>
            <family val="2"/>
          </rPr>
          <t>REQUIREMENT IN DIET
NRC, 2001
MP 391</t>
        </r>
      </text>
    </comment>
    <comment ref="E16" authorId="0">
      <text>
        <r>
          <rPr>
            <b/>
            <sz val="8"/>
            <color rgb="FF313739"/>
            <rFont val="Tahoma"/>
            <family val="2"/>
          </rPr>
          <t>LEVEL IN MINERAL SUPPLEMENT</t>
        </r>
      </text>
    </comment>
  </commentList>
</comments>
</file>

<file path=xl/sharedStrings.xml><?xml version="1.0" encoding="utf-8"?>
<sst xmlns="http://schemas.openxmlformats.org/spreadsheetml/2006/main" count="86" uniqueCount="60">
  <si>
    <t>Mineral Profile Evaluator</t>
  </si>
  <si>
    <t>TYPE</t>
  </si>
  <si>
    <t>Animal Type</t>
  </si>
  <si>
    <t>1:</t>
  </si>
  <si>
    <t>Lactating Beef Cow, Moderate Milking Ability</t>
  </si>
  <si>
    <t>Animal Size</t>
  </si>
  <si>
    <t>lbs</t>
  </si>
  <si>
    <t>2:</t>
  </si>
  <si>
    <t>Lactating Beef Cow, High Milking Ability</t>
  </si>
  <si>
    <t>Expected Intake</t>
  </si>
  <si>
    <t>% BW</t>
  </si>
  <si>
    <t>3:</t>
  </si>
  <si>
    <t>Growing Weaned Calf, Moderate ADG, 2 lb/d</t>
  </si>
  <si>
    <t>Expected DMI</t>
  </si>
  <si>
    <t>4:</t>
  </si>
  <si>
    <t>Growing Weaned Calf, High ADG, 3 lb/d</t>
  </si>
  <si>
    <t>Level of Mineral/Vitamin intake</t>
  </si>
  <si>
    <t>oz</t>
  </si>
  <si>
    <t>Mineral Cost</t>
  </si>
  <si>
    <t>$/ton</t>
  </si>
  <si>
    <t>$/hd/d</t>
  </si>
  <si>
    <t>Dietary</t>
  </si>
  <si>
    <t>% of</t>
  </si>
  <si>
    <t>Nutrient</t>
  </si>
  <si>
    <t>Requirement</t>
  </si>
  <si>
    <t>Level</t>
  </si>
  <si>
    <t>Required</t>
  </si>
  <si>
    <t>Medicated Feed Additive</t>
  </si>
  <si>
    <t>Calcium</t>
  </si>
  <si>
    <t>%</t>
  </si>
  <si>
    <t>Desired intake</t>
  </si>
  <si>
    <t>mg/d</t>
  </si>
  <si>
    <t>Phosphorus</t>
  </si>
  <si>
    <t>Required Level</t>
  </si>
  <si>
    <t>g/ton</t>
  </si>
  <si>
    <t>Salt</t>
  </si>
  <si>
    <t>% as Na</t>
  </si>
  <si>
    <t>or</t>
  </si>
  <si>
    <t>mg/lb</t>
  </si>
  <si>
    <t>Magnesium</t>
  </si>
  <si>
    <t>Iodine</t>
  </si>
  <si>
    <t>ppm</t>
  </si>
  <si>
    <t>Iron</t>
  </si>
  <si>
    <t>Copper</t>
  </si>
  <si>
    <t>Cobalt</t>
  </si>
  <si>
    <t>Selenium</t>
  </si>
  <si>
    <t>mg/hd/d</t>
  </si>
  <si>
    <t>Zinc</t>
  </si>
  <si>
    <t>Manganese</t>
  </si>
  <si>
    <t>Vitamin A</t>
  </si>
  <si>
    <t>IU/lb</t>
  </si>
  <si>
    <t>Vitamin D</t>
  </si>
  <si>
    <t>Vitamin E</t>
  </si>
  <si>
    <t>Sodium</t>
  </si>
  <si>
    <t>Potassium</t>
  </si>
  <si>
    <t>Sulfur</t>
  </si>
  <si>
    <t>Vit A</t>
  </si>
  <si>
    <t>Vit D</t>
  </si>
  <si>
    <t>Vit E</t>
  </si>
  <si>
    <t>intake % bw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</si>
</sst>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333399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color rgb="FF313739"/>
      <name val="Tahoma"/>
      <family val="2"/>
    </font>
    <font>
      <sz val="8"/>
      <color rgb="FF31373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rgb="FF313739"/>
      </bottom>
      <diagonal/>
    </border>
    <border>
      <left style="medium">
        <color rgb="FF313739"/>
      </left>
      <right style="medium">
        <color rgb="FF313739"/>
      </right>
      <top style="medium">
        <color rgb="FF313739"/>
      </top>
      <bottom style="medium">
        <color rgb="FF313739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/>
      <right style="thin">
        <color rgb="FF313739"/>
      </right>
      <top/>
      <bottom/>
      <diagonal/>
    </border>
    <border>
      <left style="medium">
        <color rgb="FF313739"/>
      </left>
      <right style="medium">
        <color rgb="FF313739"/>
      </right>
      <top/>
      <bottom style="medium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/>
      <right style="thin">
        <color rgb="FF313739"/>
      </right>
      <top/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2" xfId="0" applyFont="1" applyFill="1" applyBorder="1" applyProtection="1">
      <protection locked="0"/>
    </xf>
    <xf numFmtId="49" fontId="0" fillId="2" borderId="3" xfId="0" applyNumberFormat="1" applyFont="1" applyFill="1" applyBorder="1" applyAlignment="1">
      <alignment horizontal="right"/>
    </xf>
    <xf numFmtId="0" fontId="0" fillId="2" borderId="4" xfId="0" applyFont="1" applyFill="1" applyBorder="1"/>
    <xf numFmtId="0" fontId="0" fillId="2" borderId="5" xfId="0" applyFill="1" applyBorder="1"/>
    <xf numFmtId="0" fontId="4" fillId="2" borderId="2" xfId="0" applyFont="1" applyFill="1" applyBorder="1" applyProtection="1">
      <protection locked="0"/>
    </xf>
    <xf numFmtId="49" fontId="0" fillId="2" borderId="6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7" xfId="0" applyFill="1" applyBorder="1"/>
    <xf numFmtId="0" fontId="2" fillId="2" borderId="8" xfId="0" applyFont="1" applyFill="1" applyBorder="1" applyProtection="1"/>
    <xf numFmtId="0" fontId="0" fillId="2" borderId="0" xfId="0" applyFont="1" applyFill="1"/>
    <xf numFmtId="49" fontId="0" fillId="2" borderId="9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0" fillId="2" borderId="10" xfId="0" applyFill="1" applyBorder="1"/>
    <xf numFmtId="164" fontId="5" fillId="2" borderId="2" xfId="0" applyNumberFormat="1" applyFont="1" applyFill="1" applyBorder="1"/>
    <xf numFmtId="164" fontId="0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6" fillId="2" borderId="11" xfId="0" applyFont="1" applyFill="1" applyBorder="1" applyProtection="1"/>
    <xf numFmtId="165" fontId="4" fillId="2" borderId="11" xfId="0" applyNumberFormat="1" applyFont="1" applyFill="1" applyBorder="1" applyProtection="1">
      <protection locked="0"/>
    </xf>
    <xf numFmtId="1" fontId="5" fillId="2" borderId="11" xfId="0" applyNumberFormat="1" applyFont="1" applyFill="1" applyBorder="1" applyAlignment="1">
      <alignment horizontal="center"/>
    </xf>
    <xf numFmtId="0" fontId="5" fillId="2" borderId="8" xfId="0" applyFont="1" applyFill="1" applyBorder="1"/>
    <xf numFmtId="0" fontId="0" fillId="2" borderId="0" xfId="0" applyFont="1" applyFill="1" applyAlignment="1">
      <alignment horizontal="right"/>
    </xf>
    <xf numFmtId="0" fontId="5" fillId="2" borderId="2" xfId="0" applyFont="1" applyFill="1" applyBorder="1"/>
    <xf numFmtId="0" fontId="4" fillId="2" borderId="11" xfId="0" applyFont="1" applyFill="1" applyBorder="1" applyProtection="1">
      <protection locked="0"/>
    </xf>
    <xf numFmtId="2" fontId="0" fillId="2" borderId="1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104775</xdr:rowOff>
    </xdr:from>
    <xdr:to>
      <xdr:col>2</xdr:col>
      <xdr:colOff>790575</xdr:colOff>
      <xdr:row>5</xdr:row>
      <xdr:rowOff>161925</xdr:rowOff>
    </xdr:to>
    <xdr:pic>
      <xdr:nvPicPr>
        <xdr:cNvPr id="3" name="Picture 2" descr="UA-color-center-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" y="104775"/>
          <a:ext cx="160020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W30"/>
  <sheetViews>
    <sheetView tabSelected="1" zoomScaleNormal="100" workbookViewId="0">
      <selection activeCell="H38" sqref="H38"/>
    </sheetView>
  </sheetViews>
  <sheetFormatPr defaultRowHeight="12.75"/>
  <cols>
    <col min="1" max="1" width="9.140625" style="2"/>
    <col min="2" max="2" width="12.28515625" style="2"/>
    <col min="3" max="3" width="14.5703125" style="2"/>
    <col min="4" max="4" width="9.140625" style="2"/>
    <col min="5" max="5" width="10.5703125" style="2"/>
    <col min="6" max="6" width="11.42578125" style="2"/>
    <col min="7" max="7" width="9.28515625" style="2"/>
    <col min="8" max="9" width="9.140625" style="2"/>
    <col min="10" max="10" width="9.28515625" style="2"/>
    <col min="11" max="257" width="9.140625" style="2"/>
  </cols>
  <sheetData>
    <row r="5" spans="2:12" ht="18" customHeight="1">
      <c r="D5" s="3" t="s">
        <v>0</v>
      </c>
    </row>
    <row r="6" spans="2:12" ht="18.75" customHeight="1">
      <c r="D6" s="3"/>
      <c r="G6" s="1" t="s">
        <v>1</v>
      </c>
      <c r="H6" s="1"/>
      <c r="I6" s="1"/>
      <c r="J6" s="1"/>
      <c r="K6" s="1"/>
      <c r="L6" s="1"/>
    </row>
    <row r="7" spans="2:12" ht="13.5" customHeight="1">
      <c r="B7" s="2" t="s">
        <v>2</v>
      </c>
      <c r="E7" s="4">
        <v>1</v>
      </c>
      <c r="G7" s="5" t="s">
        <v>3</v>
      </c>
      <c r="H7" s="6" t="s">
        <v>4</v>
      </c>
      <c r="I7" s="6"/>
      <c r="J7" s="6"/>
      <c r="K7" s="6"/>
      <c r="L7" s="7"/>
    </row>
    <row r="8" spans="2:12" ht="13.5" customHeight="1">
      <c r="B8" s="2" t="s">
        <v>5</v>
      </c>
      <c r="E8" s="8">
        <v>1100</v>
      </c>
      <c r="F8" s="2" t="s">
        <v>6</v>
      </c>
      <c r="G8" s="9" t="s">
        <v>7</v>
      </c>
      <c r="H8" s="10" t="s">
        <v>8</v>
      </c>
      <c r="I8" s="10"/>
      <c r="J8" s="10"/>
      <c r="K8" s="10"/>
      <c r="L8" s="11"/>
    </row>
    <row r="9" spans="2:12" ht="13.5" customHeight="1">
      <c r="B9" s="2" t="s">
        <v>9</v>
      </c>
      <c r="E9" s="12">
        <f>HLOOKUP(E7,Sheet2!E5:H22,18)</f>
        <v>2.5</v>
      </c>
      <c r="F9" s="2" t="s">
        <v>10</v>
      </c>
      <c r="G9" s="9" t="s">
        <v>11</v>
      </c>
      <c r="H9" s="10" t="s">
        <v>12</v>
      </c>
      <c r="I9" s="10"/>
      <c r="J9" s="10"/>
      <c r="K9" s="10"/>
      <c r="L9" s="11"/>
    </row>
    <row r="10" spans="2:12" ht="13.5" customHeight="1">
      <c r="B10" s="2" t="s">
        <v>13</v>
      </c>
      <c r="E10" s="13">
        <f>E8*E9/100</f>
        <v>27.5</v>
      </c>
      <c r="F10" s="2" t="s">
        <v>6</v>
      </c>
      <c r="G10" s="14" t="s">
        <v>14</v>
      </c>
      <c r="H10" s="15" t="s">
        <v>15</v>
      </c>
      <c r="I10" s="15"/>
      <c r="J10" s="15"/>
      <c r="K10" s="15"/>
      <c r="L10" s="16"/>
    </row>
    <row r="11" spans="2:12" ht="13.5" customHeight="1">
      <c r="B11" s="2" t="s">
        <v>16</v>
      </c>
      <c r="E11" s="8">
        <v>3</v>
      </c>
      <c r="F11" s="2" t="s">
        <v>17</v>
      </c>
    </row>
    <row r="12" spans="2:12" ht="13.5" customHeight="1">
      <c r="B12" s="2" t="s">
        <v>18</v>
      </c>
      <c r="E12" s="8"/>
      <c r="F12" s="2" t="s">
        <v>19</v>
      </c>
    </row>
    <row r="13" spans="2:12" ht="13.5" customHeight="1">
      <c r="B13" s="2" t="s">
        <v>18</v>
      </c>
      <c r="E13" s="17">
        <f>E12/2000/16*E11</f>
        <v>0</v>
      </c>
      <c r="F13" s="2" t="s">
        <v>20</v>
      </c>
    </row>
    <row r="14" spans="2:12" ht="12.75" customHeight="1">
      <c r="E14" s="18"/>
    </row>
    <row r="15" spans="2:12" ht="12.75" customHeight="1">
      <c r="C15" s="19" t="s">
        <v>21</v>
      </c>
      <c r="F15" s="19" t="s">
        <v>22</v>
      </c>
    </row>
    <row r="16" spans="2:12" ht="13.5" customHeight="1">
      <c r="B16" s="20" t="s">
        <v>23</v>
      </c>
      <c r="C16" s="19" t="s">
        <v>24</v>
      </c>
      <c r="E16" s="20" t="s">
        <v>25</v>
      </c>
      <c r="F16" s="21" t="s">
        <v>26</v>
      </c>
      <c r="H16" s="20" t="s">
        <v>27</v>
      </c>
    </row>
    <row r="17" spans="2:11" ht="13.5" customHeight="1">
      <c r="B17" s="2" t="s">
        <v>28</v>
      </c>
      <c r="C17" s="22">
        <f>HLOOKUP($E$7,Sheet2!$E$5:$H$21,2)</f>
        <v>0.31</v>
      </c>
      <c r="D17" s="2" t="s">
        <v>29</v>
      </c>
      <c r="E17" s="23">
        <v>0.15</v>
      </c>
      <c r="F17" s="24">
        <f>($E$11/16*E17)/($E$10*(C17*0.5/100))*100</f>
        <v>65.982404692082113</v>
      </c>
      <c r="H17" s="2" t="s">
        <v>30</v>
      </c>
      <c r="J17" s="8">
        <v>300</v>
      </c>
      <c r="K17" s="2" t="s">
        <v>31</v>
      </c>
    </row>
    <row r="18" spans="2:11" ht="13.5" customHeight="1">
      <c r="B18" s="2" t="s">
        <v>32</v>
      </c>
      <c r="C18" s="22">
        <f>HLOOKUP($E$7,Sheet2!$E$5:$H$21,3)</f>
        <v>0.21</v>
      </c>
      <c r="D18" s="2" t="s">
        <v>29</v>
      </c>
      <c r="E18" s="23">
        <v>7.4999999999999997E-2</v>
      </c>
      <c r="F18" s="24">
        <f>($E$11/16*E18)/($E$10*(C18*0.68/100))*100</f>
        <v>35.809778456837279</v>
      </c>
      <c r="H18" s="2" t="s">
        <v>33</v>
      </c>
      <c r="J18" s="25">
        <f>J17/E11*16*2000/1000</f>
        <v>3200</v>
      </c>
      <c r="K18" s="2" t="s">
        <v>34</v>
      </c>
    </row>
    <row r="19" spans="2:11" ht="13.5" customHeight="1">
      <c r="B19" s="2" t="s">
        <v>35</v>
      </c>
      <c r="C19" s="22">
        <f>HLOOKUP($E$7,Sheet2!$E$5:$H$21,4)</f>
        <v>0.1</v>
      </c>
      <c r="D19" s="2" t="s">
        <v>36</v>
      </c>
      <c r="E19" s="23">
        <v>0.2</v>
      </c>
      <c r="F19" s="24">
        <f>($E$11/16*(E19*0.394))/($E$10*(C19/100))*100</f>
        <v>53.727272727272734</v>
      </c>
      <c r="I19" s="26" t="s">
        <v>37</v>
      </c>
      <c r="J19" s="27">
        <f>J18/2</f>
        <v>1600</v>
      </c>
      <c r="K19" s="2" t="s">
        <v>38</v>
      </c>
    </row>
    <row r="20" spans="2:11" ht="12.75" customHeight="1">
      <c r="B20" s="2" t="s">
        <v>39</v>
      </c>
      <c r="C20" s="22">
        <f>HLOOKUP($E$7,Sheet2!$E$5:$H$21,5)</f>
        <v>0.2</v>
      </c>
      <c r="D20" s="2" t="s">
        <v>29</v>
      </c>
      <c r="E20" s="23">
        <v>5.0000000000000001E-3</v>
      </c>
      <c r="F20" s="24">
        <f>($E$11/16*E20)/($E$10*(C20/100))*100</f>
        <v>1.7045454545454544</v>
      </c>
    </row>
    <row r="21" spans="2:11" ht="12.75" customHeight="1">
      <c r="B21" s="2" t="s">
        <v>40</v>
      </c>
      <c r="C21" s="22">
        <f>HLOOKUP($E$7,Sheet2!$E$5:$H$21,8)</f>
        <v>0.5</v>
      </c>
      <c r="D21" s="2" t="s">
        <v>41</v>
      </c>
      <c r="E21" s="28">
        <v>155</v>
      </c>
      <c r="F21" s="24">
        <f t="shared" ref="F21:F30" si="0">(E21*($E$11*28))/(C21*($E$10*454.54))*100</f>
        <v>208.32249986999844</v>
      </c>
    </row>
    <row r="22" spans="2:11" ht="12.75" customHeight="1">
      <c r="B22" s="2" t="s">
        <v>42</v>
      </c>
      <c r="C22" s="22">
        <f>HLOOKUP($E$7,Sheet2!$E$5:$H$21,9)</f>
        <v>50</v>
      </c>
      <c r="D22" s="2" t="s">
        <v>41</v>
      </c>
      <c r="E22" s="28"/>
      <c r="F22" s="24">
        <f t="shared" si="0"/>
        <v>0</v>
      </c>
    </row>
    <row r="23" spans="2:11" ht="12.75" customHeight="1">
      <c r="B23" s="2" t="s">
        <v>43</v>
      </c>
      <c r="C23" s="22">
        <f>HLOOKUP($E$7,Sheet2!$E$5:$H$21,10)</f>
        <v>10</v>
      </c>
      <c r="D23" s="2" t="s">
        <v>41</v>
      </c>
      <c r="E23" s="28">
        <v>2500</v>
      </c>
      <c r="F23" s="24">
        <f t="shared" si="0"/>
        <v>168.0020160241923</v>
      </c>
    </row>
    <row r="24" spans="2:11" ht="12.75" customHeight="1">
      <c r="B24" s="2" t="s">
        <v>44</v>
      </c>
      <c r="C24" s="22">
        <f>HLOOKUP($E$7,Sheet2!$E$5:$H$21,11)</f>
        <v>0.1</v>
      </c>
      <c r="D24" s="2" t="s">
        <v>41</v>
      </c>
      <c r="E24" s="28">
        <v>67</v>
      </c>
      <c r="F24" s="24">
        <f t="shared" si="0"/>
        <v>450.24540294483535</v>
      </c>
    </row>
    <row r="25" spans="2:11" ht="12.75" customHeight="1">
      <c r="B25" s="2" t="s">
        <v>45</v>
      </c>
      <c r="C25" s="22">
        <f>HLOOKUP($E$7,Sheet2!$E$5:$H$21,12)</f>
        <v>0.1</v>
      </c>
      <c r="D25" s="2" t="s">
        <v>41</v>
      </c>
      <c r="E25" s="28">
        <v>27</v>
      </c>
      <c r="F25" s="24">
        <f t="shared" si="0"/>
        <v>181.44217730612766</v>
      </c>
      <c r="G25" s="29">
        <f>E25*(E11*28)/1000</f>
        <v>2.2679999999999998</v>
      </c>
      <c r="H25" s="2" t="s">
        <v>46</v>
      </c>
    </row>
    <row r="26" spans="2:11" ht="12.75" customHeight="1">
      <c r="B26" s="2" t="s">
        <v>47</v>
      </c>
      <c r="C26" s="22">
        <f>HLOOKUP($E$7,Sheet2!$E$5:$H$21,13)</f>
        <v>30</v>
      </c>
      <c r="D26" s="2" t="s">
        <v>41</v>
      </c>
      <c r="E26" s="28">
        <v>7500</v>
      </c>
      <c r="F26" s="24">
        <f t="shared" si="0"/>
        <v>168.0020160241923</v>
      </c>
    </row>
    <row r="27" spans="2:11" ht="12.75" customHeight="1">
      <c r="B27" s="2" t="s">
        <v>48</v>
      </c>
      <c r="C27" s="22">
        <f>HLOOKUP($E$7,Sheet2!$E$5:$H$21,14)</f>
        <v>40</v>
      </c>
      <c r="D27" s="2" t="s">
        <v>41</v>
      </c>
      <c r="E27" s="28"/>
      <c r="F27" s="24">
        <f t="shared" si="0"/>
        <v>0</v>
      </c>
    </row>
    <row r="28" spans="2:11" ht="12.75" customHeight="1">
      <c r="B28" s="2" t="s">
        <v>49</v>
      </c>
      <c r="C28" s="22">
        <f>HLOOKUP($E$7,Sheet2!$E$5:$H$21,15)</f>
        <v>1770</v>
      </c>
      <c r="D28" s="2" t="s">
        <v>50</v>
      </c>
      <c r="E28" s="28"/>
      <c r="F28" s="24">
        <f t="shared" si="0"/>
        <v>0</v>
      </c>
    </row>
    <row r="29" spans="2:11" ht="12.75" customHeight="1">
      <c r="B29" s="2" t="s">
        <v>51</v>
      </c>
      <c r="C29" s="22">
        <f>HLOOKUP($E$7,Sheet2!$E$5:$H$21,16)</f>
        <v>125</v>
      </c>
      <c r="D29" s="2" t="s">
        <v>50</v>
      </c>
      <c r="E29" s="28"/>
      <c r="F29" s="24">
        <f t="shared" si="0"/>
        <v>0</v>
      </c>
    </row>
    <row r="30" spans="2:11" ht="12.75" customHeight="1">
      <c r="B30" s="2" t="s">
        <v>52</v>
      </c>
      <c r="C30" s="22">
        <f>HLOOKUP($E$7,Sheet2!$E$5:$H$21,17)</f>
        <v>12</v>
      </c>
      <c r="D30" s="2" t="s">
        <v>50</v>
      </c>
      <c r="E30" s="28"/>
      <c r="F30" s="24">
        <f t="shared" si="0"/>
        <v>0</v>
      </c>
    </row>
  </sheetData>
  <sheetProtection password="CB15" sheet="1" objects="1" scenarios="1"/>
  <mergeCells count="1">
    <mergeCell ref="G6:L6"/>
  </mergeCells>
  <pageMargins left="0.75" right="0.75" top="1" bottom="1" header="0.51180555555555496" footer="0.5"/>
  <pageSetup firstPageNumber="0" orientation="landscape" verticalDpi="0" r:id="rId1"/>
  <headerFooter>
    <oddFooter>&amp;LCreated by: Dr. Shane Gadberry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5:H31"/>
  <sheetViews>
    <sheetView zoomScaleNormal="100" workbookViewId="0">
      <selection activeCell="B19" sqref="B19"/>
    </sheetView>
  </sheetViews>
  <sheetFormatPr defaultRowHeight="12.75"/>
  <cols>
    <col min="4" max="4" width="12.5703125"/>
  </cols>
  <sheetData>
    <row r="5" spans="4:8" ht="12.75" customHeight="1">
      <c r="E5">
        <v>1</v>
      </c>
      <c r="F5">
        <v>2</v>
      </c>
      <c r="G5">
        <v>3</v>
      </c>
      <c r="H5">
        <v>4</v>
      </c>
    </row>
    <row r="6" spans="4:8" ht="12.75" customHeight="1">
      <c r="D6" s="2" t="s">
        <v>28</v>
      </c>
      <c r="E6">
        <v>0.31</v>
      </c>
      <c r="F6">
        <v>0.37</v>
      </c>
      <c r="G6">
        <v>0.44</v>
      </c>
      <c r="H6">
        <v>0.62</v>
      </c>
    </row>
    <row r="7" spans="4:8" ht="12.75" customHeight="1">
      <c r="D7" s="2" t="s">
        <v>32</v>
      </c>
      <c r="E7">
        <v>0.21</v>
      </c>
      <c r="F7">
        <v>0.24</v>
      </c>
      <c r="G7">
        <v>0.22</v>
      </c>
      <c r="H7">
        <v>0.3</v>
      </c>
    </row>
    <row r="8" spans="4:8" ht="12.75" customHeight="1">
      <c r="D8" s="2" t="s">
        <v>53</v>
      </c>
      <c r="E8">
        <v>0.1</v>
      </c>
      <c r="F8">
        <v>0.1</v>
      </c>
      <c r="G8">
        <v>0.08</v>
      </c>
      <c r="H8">
        <v>0.08</v>
      </c>
    </row>
    <row r="9" spans="4:8" ht="12.75" customHeight="1">
      <c r="D9" s="2" t="s">
        <v>39</v>
      </c>
      <c r="E9">
        <v>0.2</v>
      </c>
      <c r="F9">
        <v>0.2</v>
      </c>
      <c r="G9">
        <v>0.1</v>
      </c>
      <c r="H9">
        <v>0.1</v>
      </c>
    </row>
    <row r="10" spans="4:8" ht="12.75" customHeight="1">
      <c r="D10" s="2" t="s">
        <v>54</v>
      </c>
      <c r="E10">
        <v>0.7</v>
      </c>
      <c r="F10">
        <v>0.7</v>
      </c>
      <c r="G10">
        <v>0.6</v>
      </c>
      <c r="H10">
        <v>0.6</v>
      </c>
    </row>
    <row r="11" spans="4:8" ht="12.75" customHeight="1">
      <c r="D11" s="2" t="s">
        <v>55</v>
      </c>
      <c r="E11">
        <v>0.15</v>
      </c>
      <c r="F11">
        <v>0.15</v>
      </c>
      <c r="G11">
        <v>0.15</v>
      </c>
      <c r="H11">
        <v>0.15</v>
      </c>
    </row>
    <row r="12" spans="4:8" ht="12.75" customHeight="1">
      <c r="D12" s="2" t="s">
        <v>40</v>
      </c>
      <c r="E12">
        <v>0.5</v>
      </c>
      <c r="F12">
        <v>0.5</v>
      </c>
      <c r="G12">
        <v>0.5</v>
      </c>
      <c r="H12">
        <v>0.5</v>
      </c>
    </row>
    <row r="13" spans="4:8" ht="12.75" customHeight="1">
      <c r="D13" s="2" t="s">
        <v>42</v>
      </c>
      <c r="E13">
        <v>50</v>
      </c>
      <c r="F13">
        <v>50</v>
      </c>
      <c r="G13">
        <v>50</v>
      </c>
      <c r="H13">
        <v>50</v>
      </c>
    </row>
    <row r="14" spans="4:8" ht="12.75" customHeight="1">
      <c r="D14" s="2" t="s">
        <v>43</v>
      </c>
      <c r="E14">
        <v>10</v>
      </c>
      <c r="F14">
        <v>10</v>
      </c>
      <c r="G14">
        <v>10</v>
      </c>
      <c r="H14">
        <v>10</v>
      </c>
    </row>
    <row r="15" spans="4:8" ht="12.75" customHeight="1">
      <c r="D15" s="2" t="s">
        <v>44</v>
      </c>
      <c r="E15">
        <v>0.1</v>
      </c>
      <c r="F15">
        <v>0.1</v>
      </c>
      <c r="G15">
        <v>0.1</v>
      </c>
      <c r="H15">
        <v>0.1</v>
      </c>
    </row>
    <row r="16" spans="4:8" ht="12.75" customHeight="1">
      <c r="D16" s="2" t="s">
        <v>45</v>
      </c>
      <c r="E16">
        <v>0.1</v>
      </c>
      <c r="F16">
        <v>0.1</v>
      </c>
      <c r="G16">
        <v>0.1</v>
      </c>
      <c r="H16">
        <v>0.1</v>
      </c>
    </row>
    <row r="17" spans="4:8" ht="12.75" customHeight="1">
      <c r="D17" s="2" t="s">
        <v>47</v>
      </c>
      <c r="E17">
        <v>30</v>
      </c>
      <c r="F17">
        <v>30</v>
      </c>
      <c r="G17">
        <v>30</v>
      </c>
      <c r="H17">
        <v>30</v>
      </c>
    </row>
    <row r="18" spans="4:8" ht="12.75" customHeight="1">
      <c r="D18" s="2" t="s">
        <v>48</v>
      </c>
      <c r="E18">
        <v>40</v>
      </c>
      <c r="F18">
        <v>40</v>
      </c>
      <c r="G18">
        <v>20</v>
      </c>
      <c r="H18">
        <v>20</v>
      </c>
    </row>
    <row r="19" spans="4:8" ht="12.75" customHeight="1">
      <c r="D19" s="2" t="s">
        <v>56</v>
      </c>
      <c r="E19">
        <v>1770</v>
      </c>
      <c r="F19">
        <v>1770</v>
      </c>
      <c r="G19">
        <v>1000</v>
      </c>
      <c r="H19">
        <v>1000</v>
      </c>
    </row>
    <row r="20" spans="4:8" ht="12.75" customHeight="1">
      <c r="D20" s="2" t="s">
        <v>57</v>
      </c>
      <c r="E20">
        <v>125</v>
      </c>
      <c r="F20">
        <v>125</v>
      </c>
      <c r="G20">
        <v>125</v>
      </c>
      <c r="H20">
        <v>125</v>
      </c>
    </row>
    <row r="21" spans="4:8" ht="12.75" customHeight="1">
      <c r="D21" s="2" t="s">
        <v>58</v>
      </c>
      <c r="E21">
        <v>12</v>
      </c>
      <c r="F21">
        <v>12</v>
      </c>
      <c r="G21">
        <v>12</v>
      </c>
      <c r="H21">
        <v>12</v>
      </c>
    </row>
    <row r="22" spans="4:8" ht="12.75" customHeight="1">
      <c r="D22" s="2" t="s">
        <v>59</v>
      </c>
      <c r="E22">
        <v>2.5</v>
      </c>
      <c r="F22">
        <v>2.5</v>
      </c>
      <c r="G22">
        <v>2.5</v>
      </c>
      <c r="H22">
        <v>2.5</v>
      </c>
    </row>
    <row r="28" spans="4:8" ht="12.75" customHeight="1">
      <c r="D28">
        <v>1</v>
      </c>
      <c r="E28" t="s">
        <v>4</v>
      </c>
    </row>
    <row r="29" spans="4:8" ht="12.75" customHeight="1">
      <c r="D29">
        <v>2</v>
      </c>
      <c r="E29" t="s">
        <v>8</v>
      </c>
    </row>
    <row r="30" spans="4:8" ht="12.75" customHeight="1">
      <c r="D30">
        <v>3</v>
      </c>
      <c r="E30" t="s">
        <v>12</v>
      </c>
    </row>
    <row r="31" spans="4:8" ht="12.75" customHeight="1">
      <c r="D31">
        <v>4</v>
      </c>
      <c r="E31" t="s">
        <v>15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Gadberry</dc:creator>
  <cp:lastModifiedBy>Tech Support</cp:lastModifiedBy>
  <cp:revision>0</cp:revision>
  <cp:lastPrinted>2013-09-13T14:15:01Z</cp:lastPrinted>
  <dcterms:created xsi:type="dcterms:W3CDTF">2003-09-11T21:20:59Z</dcterms:created>
  <dcterms:modified xsi:type="dcterms:W3CDTF">2013-09-13T14:16:18Z</dcterms:modified>
</cp:coreProperties>
</file>