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30" windowWidth="11295" windowHeight="5730" tabRatio="747"/>
  </bookViews>
  <sheets>
    <sheet name="Calf Info" sheetId="1" r:id="rId1"/>
    <sheet name="Ration Formulation" sheetId="2" r:id="rId2"/>
    <sheet name="Feeds List" sheetId="4" r:id="rId3"/>
    <sheet name="Feed Blend" sheetId="6" r:id="rId4"/>
    <sheet name="calf req" sheetId="5" state="hidden" r:id="rId5"/>
    <sheet name="Feed Summary" sheetId="3" state="hidden" r:id="rId6"/>
  </sheets>
  <definedNames>
    <definedName name="_xlnm.Print_Area" localSheetId="3">'Feed Blend'!$B$1:$G$33</definedName>
    <definedName name="_xlnm.Print_Area" localSheetId="1">'Ration Formulation'!$A$1:$L$37</definedName>
  </definedNames>
  <calcPr calcId="125725"/>
</workbook>
</file>

<file path=xl/calcChain.xml><?xml version="1.0" encoding="utf-8"?>
<calcChain xmlns="http://schemas.openxmlformats.org/spreadsheetml/2006/main">
  <c r="C25" i="6"/>
  <c r="D25" s="1"/>
  <c r="D10" i="5"/>
  <c r="G26"/>
  <c r="D24" s="1"/>
  <c r="G23"/>
  <c r="D11" s="1"/>
  <c r="D22" i="1"/>
  <c r="E44" i="5"/>
  <c r="C22" i="2"/>
  <c r="A5" i="3"/>
  <c r="C5" s="1"/>
  <c r="A6"/>
  <c r="C6" s="1"/>
  <c r="A7"/>
  <c r="C7" s="1"/>
  <c r="A8"/>
  <c r="C8" s="1"/>
  <c r="A9"/>
  <c r="C9" s="1"/>
  <c r="A10"/>
  <c r="C10" s="1"/>
  <c r="A11"/>
  <c r="C11" s="1"/>
  <c r="A12"/>
  <c r="C12" s="1"/>
  <c r="A13"/>
  <c r="C13" s="1"/>
  <c r="A14"/>
  <c r="C14" s="1"/>
  <c r="A15"/>
  <c r="C15" s="1"/>
  <c r="A16"/>
  <c r="C16" s="1"/>
  <c r="A17"/>
  <c r="C17" s="1"/>
  <c r="A18"/>
  <c r="C18" s="1"/>
  <c r="A19"/>
  <c r="C19" s="1"/>
  <c r="G6"/>
  <c r="G12"/>
  <c r="G17"/>
  <c r="O14"/>
  <c r="O18"/>
  <c r="L8" i="4"/>
  <c r="L174"/>
  <c r="L220"/>
  <c r="L190"/>
  <c r="L146"/>
  <c r="E25" i="6"/>
  <c r="E20" i="5"/>
  <c r="E22"/>
  <c r="M146" i="4"/>
  <c r="P15" i="3"/>
  <c r="P19"/>
  <c r="K146" i="4"/>
  <c r="N17" i="3"/>
  <c r="E33" i="5"/>
  <c r="E26"/>
  <c r="E27"/>
  <c r="B20" i="2"/>
  <c r="B24" i="6" s="1"/>
  <c r="B19" i="2"/>
  <c r="B22" i="6" s="1"/>
  <c r="B18" i="2"/>
  <c r="B21" i="6" s="1"/>
  <c r="B17" i="2"/>
  <c r="B20" i="6" s="1"/>
  <c r="B16" i="2"/>
  <c r="B19" i="6" s="1"/>
  <c r="B15" i="2"/>
  <c r="B18" i="6" s="1"/>
  <c r="B14" i="2"/>
  <c r="B17" i="6" s="1"/>
  <c r="B13" i="2"/>
  <c r="B16" i="6" s="1"/>
  <c r="B12" i="2"/>
  <c r="B15" i="6" s="1"/>
  <c r="B11" i="2"/>
  <c r="B14" i="6" s="1"/>
  <c r="B10" i="2"/>
  <c r="B13" i="6" s="1"/>
  <c r="B9" i="2"/>
  <c r="B12" i="6" s="1"/>
  <c r="B8" i="2"/>
  <c r="B11" i="6" s="1"/>
  <c r="B7" i="2"/>
  <c r="B10" i="6" s="1"/>
  <c r="AF12" i="3"/>
  <c r="AF17"/>
  <c r="AE14"/>
  <c r="AE18"/>
  <c r="AD17"/>
  <c r="AC16"/>
  <c r="AB12"/>
  <c r="AB17"/>
  <c r="AA14"/>
  <c r="AA18"/>
  <c r="Z17"/>
  <c r="Y16"/>
  <c r="X12"/>
  <c r="X17"/>
  <c r="W14"/>
  <c r="W18"/>
  <c r="V17"/>
  <c r="U16"/>
  <c r="T12"/>
  <c r="T17"/>
  <c r="Q14"/>
  <c r="Q18"/>
  <c r="R17"/>
  <c r="M16"/>
  <c r="L12"/>
  <c r="L17"/>
  <c r="K14"/>
  <c r="K18"/>
  <c r="B12"/>
  <c r="B13"/>
  <c r="S14"/>
  <c r="F15"/>
  <c r="B16"/>
  <c r="B17"/>
  <c r="S17"/>
  <c r="B21" i="2"/>
  <c r="B19" i="3" s="1"/>
  <c r="F19"/>
  <c r="S19"/>
  <c r="K6" i="4"/>
  <c r="L6"/>
  <c r="M6"/>
  <c r="K7"/>
  <c r="L7"/>
  <c r="M7"/>
  <c r="K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2"/>
  <c r="L52"/>
  <c r="M52"/>
  <c r="K53"/>
  <c r="L53"/>
  <c r="M53"/>
  <c r="K54"/>
  <c r="L54"/>
  <c r="M54"/>
  <c r="K55"/>
  <c r="L55"/>
  <c r="M55"/>
  <c r="K56"/>
  <c r="L56"/>
  <c r="M56"/>
  <c r="K57"/>
  <c r="L57"/>
  <c r="M57"/>
  <c r="K58"/>
  <c r="L58"/>
  <c r="M58"/>
  <c r="K59"/>
  <c r="L59"/>
  <c r="M59"/>
  <c r="K60"/>
  <c r="L60"/>
  <c r="M60"/>
  <c r="K61"/>
  <c r="L61"/>
  <c r="M61"/>
  <c r="K62"/>
  <c r="L62"/>
  <c r="M62"/>
  <c r="K63"/>
  <c r="L63"/>
  <c r="M63"/>
  <c r="K64"/>
  <c r="L64"/>
  <c r="M64"/>
  <c r="K65"/>
  <c r="L65"/>
  <c r="M65"/>
  <c r="K66"/>
  <c r="L66"/>
  <c r="M66"/>
  <c r="K67"/>
  <c r="L67"/>
  <c r="M67"/>
  <c r="K68"/>
  <c r="L68"/>
  <c r="M68"/>
  <c r="K69"/>
  <c r="L69"/>
  <c r="M69"/>
  <c r="K70"/>
  <c r="L70"/>
  <c r="M70"/>
  <c r="K71"/>
  <c r="L71"/>
  <c r="M71"/>
  <c r="K72"/>
  <c r="L72"/>
  <c r="M72"/>
  <c r="K73"/>
  <c r="L73"/>
  <c r="M73"/>
  <c r="K74"/>
  <c r="L74"/>
  <c r="M74"/>
  <c r="K75"/>
  <c r="L75"/>
  <c r="M75"/>
  <c r="K76"/>
  <c r="L76"/>
  <c r="M76"/>
  <c r="K77"/>
  <c r="L77"/>
  <c r="M77"/>
  <c r="K78"/>
  <c r="L78"/>
  <c r="M78"/>
  <c r="K79"/>
  <c r="L79"/>
  <c r="M79"/>
  <c r="K80"/>
  <c r="L80"/>
  <c r="M80"/>
  <c r="K81"/>
  <c r="L81"/>
  <c r="M81"/>
  <c r="K82"/>
  <c r="L82"/>
  <c r="M82"/>
  <c r="K83"/>
  <c r="L83"/>
  <c r="M83"/>
  <c r="K84"/>
  <c r="L84"/>
  <c r="M84"/>
  <c r="K85"/>
  <c r="L85"/>
  <c r="M85"/>
  <c r="K86"/>
  <c r="L86"/>
  <c r="M86"/>
  <c r="K87"/>
  <c r="L87"/>
  <c r="M87"/>
  <c r="K88"/>
  <c r="L88"/>
  <c r="M88"/>
  <c r="K89"/>
  <c r="L89"/>
  <c r="M89"/>
  <c r="K90"/>
  <c r="L90"/>
  <c r="M90"/>
  <c r="K91"/>
  <c r="L91"/>
  <c r="M91"/>
  <c r="K92"/>
  <c r="L92"/>
  <c r="M92"/>
  <c r="K93"/>
  <c r="L93"/>
  <c r="M93"/>
  <c r="K94"/>
  <c r="L94"/>
  <c r="M94"/>
  <c r="K95"/>
  <c r="L95"/>
  <c r="M95"/>
  <c r="K96"/>
  <c r="L96"/>
  <c r="M96"/>
  <c r="K97"/>
  <c r="L97"/>
  <c r="M97"/>
  <c r="K98"/>
  <c r="L98"/>
  <c r="M98"/>
  <c r="K99"/>
  <c r="L99"/>
  <c r="M99"/>
  <c r="K100"/>
  <c r="L100"/>
  <c r="M100"/>
  <c r="K101"/>
  <c r="L101"/>
  <c r="M101"/>
  <c r="K102"/>
  <c r="L102"/>
  <c r="M102"/>
  <c r="K103"/>
  <c r="L103"/>
  <c r="M103"/>
  <c r="K104"/>
  <c r="L104"/>
  <c r="M104"/>
  <c r="K105"/>
  <c r="L105"/>
  <c r="M105"/>
  <c r="K106"/>
  <c r="L106"/>
  <c r="M106"/>
  <c r="K107"/>
  <c r="L107"/>
  <c r="M107"/>
  <c r="K108"/>
  <c r="L108"/>
  <c r="M108"/>
  <c r="K109"/>
  <c r="L109"/>
  <c r="M109"/>
  <c r="K110"/>
  <c r="L110"/>
  <c r="M110"/>
  <c r="K111"/>
  <c r="L111"/>
  <c r="M111"/>
  <c r="K112"/>
  <c r="L112"/>
  <c r="M112"/>
  <c r="K113"/>
  <c r="L113"/>
  <c r="M113"/>
  <c r="K114"/>
  <c r="L114"/>
  <c r="M114"/>
  <c r="K115"/>
  <c r="L115"/>
  <c r="M115"/>
  <c r="K116"/>
  <c r="L116"/>
  <c r="M116"/>
  <c r="K117"/>
  <c r="L117"/>
  <c r="M117"/>
  <c r="K118"/>
  <c r="L118"/>
  <c r="M118"/>
  <c r="K119"/>
  <c r="L119"/>
  <c r="M119"/>
  <c r="K120"/>
  <c r="L120"/>
  <c r="M120"/>
  <c r="K121"/>
  <c r="L121"/>
  <c r="M121"/>
  <c r="K122"/>
  <c r="L122"/>
  <c r="M122"/>
  <c r="K123"/>
  <c r="L123"/>
  <c r="M123"/>
  <c r="K124"/>
  <c r="L124"/>
  <c r="M124"/>
  <c r="K125"/>
  <c r="L125"/>
  <c r="M125"/>
  <c r="K126"/>
  <c r="L126"/>
  <c r="M126"/>
  <c r="K127"/>
  <c r="L127"/>
  <c r="M127"/>
  <c r="K128"/>
  <c r="L128"/>
  <c r="M128"/>
  <c r="K129"/>
  <c r="L129"/>
  <c r="M129"/>
  <c r="K130"/>
  <c r="L130"/>
  <c r="M130"/>
  <c r="K131"/>
  <c r="L131"/>
  <c r="M131"/>
  <c r="K132"/>
  <c r="L132"/>
  <c r="M132"/>
  <c r="K133"/>
  <c r="L133"/>
  <c r="M133"/>
  <c r="K134"/>
  <c r="L134"/>
  <c r="M134"/>
  <c r="K135"/>
  <c r="L135"/>
  <c r="M135"/>
  <c r="K136"/>
  <c r="L136"/>
  <c r="M136"/>
  <c r="K137"/>
  <c r="L137"/>
  <c r="M137"/>
  <c r="K138"/>
  <c r="L138"/>
  <c r="M138"/>
  <c r="K139"/>
  <c r="L139"/>
  <c r="M139"/>
  <c r="K140"/>
  <c r="L140"/>
  <c r="M140"/>
  <c r="K141"/>
  <c r="L141"/>
  <c r="M141"/>
  <c r="K142"/>
  <c r="L142"/>
  <c r="M142"/>
  <c r="K143"/>
  <c r="L143"/>
  <c r="M143"/>
  <c r="K144"/>
  <c r="L144"/>
  <c r="M144"/>
  <c r="K145"/>
  <c r="L145"/>
  <c r="M145"/>
  <c r="K147"/>
  <c r="L147"/>
  <c r="M147"/>
  <c r="K148"/>
  <c r="L148"/>
  <c r="M148"/>
  <c r="K149"/>
  <c r="L149"/>
  <c r="M149"/>
  <c r="K150"/>
  <c r="L150"/>
  <c r="M150"/>
  <c r="K151"/>
  <c r="L151"/>
  <c r="M151"/>
  <c r="K152"/>
  <c r="L152"/>
  <c r="M152"/>
  <c r="K153"/>
  <c r="L153"/>
  <c r="M153"/>
  <c r="K154"/>
  <c r="L154"/>
  <c r="M154"/>
  <c r="K155"/>
  <c r="L155"/>
  <c r="M155"/>
  <c r="K156"/>
  <c r="L156"/>
  <c r="M156"/>
  <c r="K157"/>
  <c r="L157"/>
  <c r="M157"/>
  <c r="K158"/>
  <c r="L158"/>
  <c r="M158"/>
  <c r="K159"/>
  <c r="L159"/>
  <c r="M159"/>
  <c r="K160"/>
  <c r="L160"/>
  <c r="M160"/>
  <c r="K161"/>
  <c r="L161"/>
  <c r="M161"/>
  <c r="K162"/>
  <c r="L162"/>
  <c r="M162"/>
  <c r="K163"/>
  <c r="L163"/>
  <c r="M163"/>
  <c r="K164"/>
  <c r="L164"/>
  <c r="M164"/>
  <c r="K165"/>
  <c r="L165"/>
  <c r="M165"/>
  <c r="K166"/>
  <c r="L166"/>
  <c r="M166"/>
  <c r="K167"/>
  <c r="L167"/>
  <c r="M167"/>
  <c r="K168"/>
  <c r="L168"/>
  <c r="M168"/>
  <c r="K169"/>
  <c r="L169"/>
  <c r="M169"/>
  <c r="K170"/>
  <c r="L170"/>
  <c r="M170"/>
  <c r="K171"/>
  <c r="L171"/>
  <c r="M171"/>
  <c r="K172"/>
  <c r="L172"/>
  <c r="M172"/>
  <c r="K173"/>
  <c r="L173"/>
  <c r="M173"/>
  <c r="K174"/>
  <c r="M174"/>
  <c r="K175"/>
  <c r="L175"/>
  <c r="M175"/>
  <c r="K176"/>
  <c r="L176"/>
  <c r="M176"/>
  <c r="K177"/>
  <c r="L177"/>
  <c r="M177"/>
  <c r="K178"/>
  <c r="L178"/>
  <c r="M178"/>
  <c r="K179"/>
  <c r="L179"/>
  <c r="M179"/>
  <c r="K180"/>
  <c r="L180"/>
  <c r="M180"/>
  <c r="K181"/>
  <c r="L181"/>
  <c r="M181"/>
  <c r="K182"/>
  <c r="L182"/>
  <c r="M182"/>
  <c r="K183"/>
  <c r="L183"/>
  <c r="M183"/>
  <c r="K184"/>
  <c r="L184"/>
  <c r="M184"/>
  <c r="K185"/>
  <c r="L185"/>
  <c r="M185"/>
  <c r="K186"/>
  <c r="L186"/>
  <c r="M186"/>
  <c r="K187"/>
  <c r="L187"/>
  <c r="M187"/>
  <c r="K188"/>
  <c r="L188"/>
  <c r="M188"/>
  <c r="K189"/>
  <c r="L189"/>
  <c r="M189"/>
  <c r="K190"/>
  <c r="M190"/>
  <c r="K191"/>
  <c r="L191"/>
  <c r="M191"/>
  <c r="K192"/>
  <c r="L192"/>
  <c r="M192"/>
  <c r="K193"/>
  <c r="L193"/>
  <c r="M193"/>
  <c r="K194"/>
  <c r="L194"/>
  <c r="M194"/>
  <c r="K195"/>
  <c r="L195"/>
  <c r="M195"/>
  <c r="K196"/>
  <c r="L196"/>
  <c r="M196"/>
  <c r="K197"/>
  <c r="L197"/>
  <c r="M197"/>
  <c r="K198"/>
  <c r="L198"/>
  <c r="M198"/>
  <c r="K199"/>
  <c r="L199"/>
  <c r="M199"/>
  <c r="K200"/>
  <c r="L200"/>
  <c r="M200"/>
  <c r="K201"/>
  <c r="L201"/>
  <c r="M201"/>
  <c r="K202"/>
  <c r="L202"/>
  <c r="M202"/>
  <c r="K203"/>
  <c r="L203"/>
  <c r="M203"/>
  <c r="K204"/>
  <c r="L204"/>
  <c r="M204"/>
  <c r="K205"/>
  <c r="L205"/>
  <c r="M205"/>
  <c r="K206"/>
  <c r="L206"/>
  <c r="M206"/>
  <c r="K207"/>
  <c r="L207"/>
  <c r="M207"/>
  <c r="K208"/>
  <c r="L208"/>
  <c r="M208"/>
  <c r="K209"/>
  <c r="L209"/>
  <c r="M209"/>
  <c r="K210"/>
  <c r="L210"/>
  <c r="M210"/>
  <c r="K211"/>
  <c r="L211"/>
  <c r="M211"/>
  <c r="K212"/>
  <c r="L212"/>
  <c r="M212"/>
  <c r="K213"/>
  <c r="L213"/>
  <c r="M213"/>
  <c r="K214"/>
  <c r="L214"/>
  <c r="M214"/>
  <c r="K215"/>
  <c r="L215"/>
  <c r="M215"/>
  <c r="K216"/>
  <c r="L216"/>
  <c r="M216"/>
  <c r="K217"/>
  <c r="L217"/>
  <c r="M217"/>
  <c r="K218"/>
  <c r="L218"/>
  <c r="M218"/>
  <c r="K219"/>
  <c r="L219"/>
  <c r="M219"/>
  <c r="K220"/>
  <c r="M220"/>
  <c r="K221"/>
  <c r="L221"/>
  <c r="M221"/>
  <c r="K222"/>
  <c r="L222"/>
  <c r="M222"/>
  <c r="K223"/>
  <c r="L223"/>
  <c r="M223"/>
  <c r="K224"/>
  <c r="L224"/>
  <c r="M224"/>
  <c r="K225"/>
  <c r="L225"/>
  <c r="M225"/>
  <c r="K226"/>
  <c r="L226"/>
  <c r="M226"/>
  <c r="K227"/>
  <c r="L227"/>
  <c r="M227"/>
  <c r="K228"/>
  <c r="L228"/>
  <c r="M228"/>
  <c r="K229"/>
  <c r="L229"/>
  <c r="M229"/>
  <c r="K230"/>
  <c r="L230"/>
  <c r="M230"/>
  <c r="K231"/>
  <c r="L231"/>
  <c r="M231"/>
  <c r="K232"/>
  <c r="L232"/>
  <c r="M232"/>
  <c r="K233"/>
  <c r="L233"/>
  <c r="M233"/>
  <c r="K234"/>
  <c r="L234"/>
  <c r="M234"/>
  <c r="K235"/>
  <c r="L235"/>
  <c r="M235"/>
  <c r="K236"/>
  <c r="L236"/>
  <c r="M236"/>
  <c r="K237"/>
  <c r="L237"/>
  <c r="M237"/>
  <c r="K238"/>
  <c r="L238"/>
  <c r="M238"/>
  <c r="K239"/>
  <c r="L239"/>
  <c r="M239"/>
  <c r="K240"/>
  <c r="L240"/>
  <c r="M240"/>
  <c r="K241"/>
  <c r="L241"/>
  <c r="M241"/>
  <c r="K242"/>
  <c r="L242"/>
  <c r="M242"/>
  <c r="K243"/>
  <c r="L243"/>
  <c r="M243"/>
  <c r="K244"/>
  <c r="L244"/>
  <c r="M244"/>
  <c r="K245"/>
  <c r="L245"/>
  <c r="M245"/>
  <c r="K246"/>
  <c r="L246"/>
  <c r="M246"/>
  <c r="K247"/>
  <c r="L247"/>
  <c r="M247"/>
  <c r="K248"/>
  <c r="L248"/>
  <c r="M248"/>
  <c r="K249"/>
  <c r="L249"/>
  <c r="M249"/>
  <c r="K250"/>
  <c r="L250"/>
  <c r="M250"/>
  <c r="K251"/>
  <c r="L251"/>
  <c r="M251"/>
  <c r="K252"/>
  <c r="L252"/>
  <c r="M252"/>
  <c r="K253"/>
  <c r="L253"/>
  <c r="M253"/>
  <c r="K254"/>
  <c r="L254"/>
  <c r="M254"/>
  <c r="K255"/>
  <c r="L255"/>
  <c r="M255"/>
  <c r="K256"/>
  <c r="L256"/>
  <c r="M256"/>
  <c r="K257"/>
  <c r="L257"/>
  <c r="M257"/>
  <c r="K258"/>
  <c r="L258"/>
  <c r="M258"/>
  <c r="K259"/>
  <c r="L259"/>
  <c r="M259"/>
  <c r="K260"/>
  <c r="L260"/>
  <c r="M260"/>
  <c r="K261"/>
  <c r="L261"/>
  <c r="M261"/>
  <c r="K262"/>
  <c r="L262"/>
  <c r="M262"/>
  <c r="K263"/>
  <c r="L263"/>
  <c r="M263"/>
  <c r="K264"/>
  <c r="L264"/>
  <c r="M264"/>
  <c r="K265"/>
  <c r="L265"/>
  <c r="M265"/>
  <c r="K266"/>
  <c r="L266"/>
  <c r="M266"/>
  <c r="K267"/>
  <c r="L267"/>
  <c r="M267"/>
  <c r="K268"/>
  <c r="L268"/>
  <c r="M268"/>
  <c r="K269"/>
  <c r="L269"/>
  <c r="M269"/>
  <c r="K270"/>
  <c r="L270"/>
  <c r="M270"/>
  <c r="K271"/>
  <c r="L271"/>
  <c r="M271"/>
  <c r="K272"/>
  <c r="L272"/>
  <c r="M272"/>
  <c r="K273"/>
  <c r="L273"/>
  <c r="M273"/>
  <c r="K274"/>
  <c r="L274"/>
  <c r="M274"/>
  <c r="K275"/>
  <c r="L275"/>
  <c r="M275"/>
  <c r="K276"/>
  <c r="L276"/>
  <c r="M276"/>
  <c r="K277"/>
  <c r="L277"/>
  <c r="M277"/>
  <c r="K278"/>
  <c r="L278"/>
  <c r="M278"/>
  <c r="K279"/>
  <c r="L279"/>
  <c r="M279"/>
  <c r="K280"/>
  <c r="L280"/>
  <c r="M280"/>
  <c r="K281"/>
  <c r="L281"/>
  <c r="M281"/>
  <c r="K282"/>
  <c r="L282"/>
  <c r="M282"/>
  <c r="K283"/>
  <c r="L283"/>
  <c r="M283"/>
  <c r="K284"/>
  <c r="L284"/>
  <c r="M284"/>
  <c r="K285"/>
  <c r="L285"/>
  <c r="M285"/>
  <c r="K286"/>
  <c r="L286"/>
  <c r="M286"/>
  <c r="K287"/>
  <c r="L287"/>
  <c r="M287"/>
  <c r="K288"/>
  <c r="L288"/>
  <c r="M288"/>
  <c r="K289"/>
  <c r="L289"/>
  <c r="M289"/>
  <c r="E45" i="5"/>
  <c r="E47" s="1"/>
  <c r="C32" i="2"/>
  <c r="G13" i="3"/>
  <c r="F11"/>
  <c r="O13"/>
  <c r="AF13"/>
  <c r="AE13"/>
  <c r="AD13"/>
  <c r="AC13"/>
  <c r="AB13"/>
  <c r="AA13"/>
  <c r="Z13"/>
  <c r="Y13"/>
  <c r="X13"/>
  <c r="W13"/>
  <c r="V13"/>
  <c r="U13"/>
  <c r="Q13"/>
  <c r="R13"/>
  <c r="M13"/>
  <c r="L13"/>
  <c r="K13"/>
  <c r="P13"/>
  <c r="N13"/>
  <c r="T13"/>
  <c r="S13"/>
  <c r="O11"/>
  <c r="P11"/>
  <c r="AE11"/>
  <c r="AC11"/>
  <c r="AA11"/>
  <c r="Y11"/>
  <c r="W11"/>
  <c r="U11"/>
  <c r="T11"/>
  <c r="Q11"/>
  <c r="M11"/>
  <c r="K11"/>
  <c r="N11"/>
  <c r="AF11"/>
  <c r="AD11"/>
  <c r="AB11"/>
  <c r="Z11"/>
  <c r="X11"/>
  <c r="V11"/>
  <c r="R11"/>
  <c r="L11"/>
  <c r="S11"/>
  <c r="T10"/>
  <c r="N10"/>
  <c r="V10"/>
  <c r="L10"/>
  <c r="AC10"/>
  <c r="M10"/>
  <c r="AF10"/>
  <c r="Y10"/>
  <c r="S10"/>
  <c r="AB10"/>
  <c r="U10"/>
  <c r="F13"/>
  <c r="B23" i="6"/>
  <c r="F16" i="3"/>
  <c r="F12"/>
  <c r="K12"/>
  <c r="L16"/>
  <c r="M12"/>
  <c r="R16"/>
  <c r="Q12"/>
  <c r="T16"/>
  <c r="U12"/>
  <c r="V16"/>
  <c r="W12"/>
  <c r="X16"/>
  <c r="Y12"/>
  <c r="Z16"/>
  <c r="AA12"/>
  <c r="AB16"/>
  <c r="AC12"/>
  <c r="AD16"/>
  <c r="AE12"/>
  <c r="AF16"/>
  <c r="N18"/>
  <c r="N14"/>
  <c r="P16"/>
  <c r="O12"/>
  <c r="G16"/>
  <c r="G9"/>
  <c r="D7" i="5"/>
  <c r="E29"/>
  <c r="C31" i="2"/>
  <c r="D13" i="5"/>
  <c r="D14" s="1"/>
  <c r="J20"/>
  <c r="B5" i="3"/>
  <c r="G5"/>
  <c r="E46" i="5"/>
  <c r="I46"/>
  <c r="E48"/>
  <c r="E49"/>
  <c r="E50" s="1"/>
  <c r="I44"/>
  <c r="E6" i="3"/>
  <c r="C11" i="6"/>
  <c r="D11" s="1"/>
  <c r="F25"/>
  <c r="G25"/>
  <c r="E11" l="1"/>
  <c r="F6" i="3"/>
  <c r="G24" i="5"/>
  <c r="E21" s="1"/>
  <c r="G14" i="3"/>
  <c r="G18"/>
  <c r="P14"/>
  <c r="P18"/>
  <c r="N16"/>
  <c r="AF14"/>
  <c r="AF18"/>
  <c r="AD14"/>
  <c r="AD18"/>
  <c r="AB14"/>
  <c r="AB18"/>
  <c r="Z14"/>
  <c r="Z18"/>
  <c r="X14"/>
  <c r="X18"/>
  <c r="V14"/>
  <c r="V18"/>
  <c r="T14"/>
  <c r="T18"/>
  <c r="R14"/>
  <c r="R18"/>
  <c r="L14"/>
  <c r="L18"/>
  <c r="B6"/>
  <c r="F14"/>
  <c r="F18"/>
  <c r="G8"/>
  <c r="Z10"/>
  <c r="O10"/>
  <c r="W10"/>
  <c r="AD10"/>
  <c r="K10"/>
  <c r="AA10"/>
  <c r="P10"/>
  <c r="Q10"/>
  <c r="AE10"/>
  <c r="R10"/>
  <c r="X10"/>
  <c r="F10"/>
  <c r="S18"/>
  <c r="B10"/>
  <c r="K16"/>
  <c r="M18"/>
  <c r="M14"/>
  <c r="R12"/>
  <c r="Q16"/>
  <c r="U18"/>
  <c r="U14"/>
  <c r="V12"/>
  <c r="W16"/>
  <c r="Y18"/>
  <c r="Y14"/>
  <c r="Z12"/>
  <c r="AA16"/>
  <c r="AC18"/>
  <c r="AC14"/>
  <c r="AD12"/>
  <c r="AE16"/>
  <c r="E31" i="5"/>
  <c r="E32" s="1"/>
  <c r="N12" i="3"/>
  <c r="O16"/>
  <c r="G10"/>
  <c r="I11" i="2"/>
  <c r="E51" i="5"/>
  <c r="E18" i="3"/>
  <c r="C23" i="6" s="1"/>
  <c r="E16" i="3"/>
  <c r="C21" i="6" s="1"/>
  <c r="E14" i="3"/>
  <c r="C19" i="6" s="1"/>
  <c r="E12" i="3"/>
  <c r="C17" i="6" s="1"/>
  <c r="E10" i="3"/>
  <c r="C15" i="6" s="1"/>
  <c r="D6" i="3"/>
  <c r="J6" s="1"/>
  <c r="E19"/>
  <c r="C24" i="6" s="1"/>
  <c r="D19" i="3"/>
  <c r="J19" s="1"/>
  <c r="E17"/>
  <c r="C22" i="6" s="1"/>
  <c r="D17" i="3"/>
  <c r="J17" s="1"/>
  <c r="E15"/>
  <c r="C20" i="6" s="1"/>
  <c r="D15" i="3"/>
  <c r="E13"/>
  <c r="C18" i="6" s="1"/>
  <c r="D13" i="3"/>
  <c r="J13" s="1"/>
  <c r="E11"/>
  <c r="C16" i="6" s="1"/>
  <c r="D11" i="3"/>
  <c r="J11" s="1"/>
  <c r="C20"/>
  <c r="D18" s="1"/>
  <c r="D5"/>
  <c r="E34" i="5"/>
  <c r="B7" i="3"/>
  <c r="B9"/>
  <c r="B8"/>
  <c r="B18"/>
  <c r="F17"/>
  <c r="S16"/>
  <c r="S15"/>
  <c r="B15"/>
  <c r="B14"/>
  <c r="S12"/>
  <c r="B11"/>
  <c r="K19"/>
  <c r="K17"/>
  <c r="K15"/>
  <c r="L19"/>
  <c r="L15"/>
  <c r="M19"/>
  <c r="M17"/>
  <c r="M15"/>
  <c r="R19"/>
  <c r="R15"/>
  <c r="Q19"/>
  <c r="Q17"/>
  <c r="Q15"/>
  <c r="T19"/>
  <c r="T15"/>
  <c r="U19"/>
  <c r="U17"/>
  <c r="U15"/>
  <c r="V19"/>
  <c r="V15"/>
  <c r="W19"/>
  <c r="W17"/>
  <c r="W15"/>
  <c r="X19"/>
  <c r="X15"/>
  <c r="Y19"/>
  <c r="Y17"/>
  <c r="Y15"/>
  <c r="Z19"/>
  <c r="Z15"/>
  <c r="AA19"/>
  <c r="AA17"/>
  <c r="AA15"/>
  <c r="AB19"/>
  <c r="AB15"/>
  <c r="AC19"/>
  <c r="AC17"/>
  <c r="AC15"/>
  <c r="AD19"/>
  <c r="AD15"/>
  <c r="AE19"/>
  <c r="AE17"/>
  <c r="AE15"/>
  <c r="AF19"/>
  <c r="AF15"/>
  <c r="N19"/>
  <c r="N15"/>
  <c r="P17"/>
  <c r="P12"/>
  <c r="O19"/>
  <c r="O17"/>
  <c r="O15"/>
  <c r="G19"/>
  <c r="G15"/>
  <c r="G11"/>
  <c r="G7"/>
  <c r="G20" s="1"/>
  <c r="J18" l="1"/>
  <c r="J5"/>
  <c r="D15" i="6"/>
  <c r="E15"/>
  <c r="D17"/>
  <c r="E17"/>
  <c r="E19"/>
  <c r="D19"/>
  <c r="D21"/>
  <c r="E21"/>
  <c r="D23"/>
  <c r="E23"/>
  <c r="E16"/>
  <c r="D16"/>
  <c r="E18"/>
  <c r="D18"/>
  <c r="E20"/>
  <c r="D20"/>
  <c r="D22"/>
  <c r="E22"/>
  <c r="E24"/>
  <c r="D24"/>
  <c r="E52" i="5"/>
  <c r="I12" i="2" s="1"/>
  <c r="J44" i="5"/>
  <c r="K44" s="1"/>
  <c r="I15" i="2" s="1"/>
  <c r="J46" i="5"/>
  <c r="K46" s="1"/>
  <c r="I16" i="2" s="1"/>
  <c r="J15" i="3"/>
  <c r="D7"/>
  <c r="J7" s="1"/>
  <c r="D9"/>
  <c r="J9" s="1"/>
  <c r="D8"/>
  <c r="J8" s="1"/>
  <c r="D10"/>
  <c r="J10" s="1"/>
  <c r="D12"/>
  <c r="J12" s="1"/>
  <c r="D14"/>
  <c r="J14" s="1"/>
  <c r="D16"/>
  <c r="J16" s="1"/>
  <c r="J20" l="1"/>
  <c r="I5" s="1"/>
  <c r="I16"/>
  <c r="I8"/>
  <c r="I14"/>
  <c r="I9"/>
  <c r="D20"/>
  <c r="I15" l="1"/>
  <c r="I10"/>
  <c r="I7"/>
  <c r="AC7" s="1"/>
  <c r="I12"/>
  <c r="R9"/>
  <c r="AA9"/>
  <c r="M9"/>
  <c r="AB9"/>
  <c r="P9"/>
  <c r="V9"/>
  <c r="L9"/>
  <c r="U9"/>
  <c r="AE9"/>
  <c r="W9"/>
  <c r="X9"/>
  <c r="K9"/>
  <c r="O9"/>
  <c r="AC9"/>
  <c r="AF9"/>
  <c r="AD9"/>
  <c r="S9"/>
  <c r="Z9"/>
  <c r="T9"/>
  <c r="Q9"/>
  <c r="Y9"/>
  <c r="N9"/>
  <c r="S7"/>
  <c r="W7"/>
  <c r="L7"/>
  <c r="AB7"/>
  <c r="U7"/>
  <c r="K7"/>
  <c r="AD7"/>
  <c r="O7"/>
  <c r="R7"/>
  <c r="M7"/>
  <c r="Q7"/>
  <c r="R5"/>
  <c r="L5"/>
  <c r="P5"/>
  <c r="K5"/>
  <c r="AE5"/>
  <c r="AD5"/>
  <c r="X5"/>
  <c r="O5"/>
  <c r="AF5"/>
  <c r="V5"/>
  <c r="N5"/>
  <c r="AC5"/>
  <c r="M5"/>
  <c r="Y5"/>
  <c r="AA5"/>
  <c r="Z5"/>
  <c r="U5"/>
  <c r="Q5"/>
  <c r="T5"/>
  <c r="S5"/>
  <c r="AB5"/>
  <c r="W5"/>
  <c r="W8"/>
  <c r="L8"/>
  <c r="AF8"/>
  <c r="AB8"/>
  <c r="AA8"/>
  <c r="V8"/>
  <c r="M8"/>
  <c r="R8"/>
  <c r="P8"/>
  <c r="Z8"/>
  <c r="K8"/>
  <c r="T8"/>
  <c r="X8"/>
  <c r="AE8"/>
  <c r="Q8"/>
  <c r="AC8"/>
  <c r="N8"/>
  <c r="U8"/>
  <c r="S8"/>
  <c r="O8"/>
  <c r="AD8"/>
  <c r="Y8"/>
  <c r="G5" i="2"/>
  <c r="C23" s="1"/>
  <c r="I20" i="3"/>
  <c r="I18"/>
  <c r="I11"/>
  <c r="I19"/>
  <c r="I13"/>
  <c r="I17"/>
  <c r="I6"/>
  <c r="Z7" l="1"/>
  <c r="AF7"/>
  <c r="X7"/>
  <c r="AA7"/>
  <c r="T7"/>
  <c r="P7"/>
  <c r="Y7"/>
  <c r="AE7"/>
  <c r="V7"/>
  <c r="N7"/>
  <c r="N6"/>
  <c r="L6"/>
  <c r="L20" s="1"/>
  <c r="R6"/>
  <c r="M6"/>
  <c r="V6"/>
  <c r="AF6"/>
  <c r="X6"/>
  <c r="Y6"/>
  <c r="U6"/>
  <c r="AA6"/>
  <c r="AA20" s="1"/>
  <c r="G22" i="2" s="1"/>
  <c r="AB6" i="3"/>
  <c r="W6"/>
  <c r="W20" s="1"/>
  <c r="G18" i="2" s="1"/>
  <c r="Q6" i="3"/>
  <c r="Q20" s="1"/>
  <c r="G12" i="2" s="1"/>
  <c r="AE6" i="3"/>
  <c r="K6"/>
  <c r="K20" s="1"/>
  <c r="G6" i="2" s="1"/>
  <c r="AC6" i="3"/>
  <c r="T6"/>
  <c r="T20" s="1"/>
  <c r="G15" i="2" s="1"/>
  <c r="P6" i="3"/>
  <c r="P20" s="1"/>
  <c r="G11" i="2" s="1"/>
  <c r="Z6" i="3"/>
  <c r="S6"/>
  <c r="AD6"/>
  <c r="O6"/>
  <c r="S20"/>
  <c r="G14" i="2" s="1"/>
  <c r="E34" s="1"/>
  <c r="Z20" i="3"/>
  <c r="G21" i="2" s="1"/>
  <c r="AC20" i="3"/>
  <c r="G24" i="2" s="1"/>
  <c r="V20" i="3"/>
  <c r="G17" i="2" s="1"/>
  <c r="O20" i="3"/>
  <c r="G10" i="2" s="1"/>
  <c r="D8" i="5" s="1"/>
  <c r="AD20" i="3"/>
  <c r="G25" i="2" s="1"/>
  <c r="AB20" i="3"/>
  <c r="G23" i="2" s="1"/>
  <c r="U20" i="3"/>
  <c r="G16" i="2" s="1"/>
  <c r="M20" i="3"/>
  <c r="G8" i="2" s="1"/>
  <c r="N20" i="3"/>
  <c r="G9" i="2" s="1"/>
  <c r="AF20" i="3"/>
  <c r="G27" i="2" s="1"/>
  <c r="X20" i="3"/>
  <c r="G19" i="2" s="1"/>
  <c r="AE20" i="3"/>
  <c r="G26" i="2" s="1"/>
  <c r="R20" i="3"/>
  <c r="G13" i="2" s="1"/>
  <c r="E32" l="1"/>
  <c r="Y20" i="3"/>
  <c r="G20" i="2" s="1"/>
  <c r="E33" s="1"/>
  <c r="G7"/>
  <c r="M22" i="5" s="1"/>
  <c r="E31" i="2"/>
  <c r="D9" i="5"/>
  <c r="D5" s="1"/>
  <c r="E23"/>
  <c r="I32" i="2"/>
  <c r="D4" i="5" l="1"/>
  <c r="C25" i="2" s="1"/>
  <c r="C26" l="1"/>
  <c r="D25"/>
  <c r="I18" l="1"/>
  <c r="I19"/>
  <c r="H20"/>
  <c r="H16"/>
  <c r="K16" s="1"/>
  <c r="I23"/>
  <c r="H5" i="3"/>
  <c r="H16"/>
  <c r="I17" i="2"/>
  <c r="H15"/>
  <c r="K15" s="1"/>
  <c r="H17" i="3"/>
  <c r="M20" i="5"/>
  <c r="H6" i="3"/>
  <c r="H8"/>
  <c r="E8" s="1"/>
  <c r="E25" i="5"/>
  <c r="H10" i="3"/>
  <c r="D26" i="2"/>
  <c r="H9" i="3"/>
  <c r="E9" s="1"/>
  <c r="H18" i="2"/>
  <c r="I26"/>
  <c r="H13"/>
  <c r="H19" i="3"/>
  <c r="H14"/>
  <c r="I27" i="2"/>
  <c r="I21"/>
  <c r="H15" i="3"/>
  <c r="I20" i="2"/>
  <c r="I24"/>
  <c r="H12"/>
  <c r="K12" s="1"/>
  <c r="H13" i="3"/>
  <c r="H19" i="2"/>
  <c r="K19" s="1"/>
  <c r="H7" i="3"/>
  <c r="E7" s="1"/>
  <c r="I25" i="2"/>
  <c r="M21" i="5"/>
  <c r="M23" s="1"/>
  <c r="H12" i="3"/>
  <c r="H17" i="2"/>
  <c r="H18" i="3"/>
  <c r="I22" i="2"/>
  <c r="H11" i="3"/>
  <c r="H22" i="2"/>
  <c r="K22" s="1"/>
  <c r="H27"/>
  <c r="H24"/>
  <c r="K24" s="1"/>
  <c r="E30" i="5"/>
  <c r="E35" s="1"/>
  <c r="E37" s="1"/>
  <c r="E38" s="1"/>
  <c r="E41" s="1"/>
  <c r="I10" i="2" s="1"/>
  <c r="H10" s="1"/>
  <c r="K10" s="1"/>
  <c r="H25"/>
  <c r="H26"/>
  <c r="H23"/>
  <c r="K23" s="1"/>
  <c r="H21"/>
  <c r="K21" s="1"/>
  <c r="K26" l="1"/>
  <c r="K27"/>
  <c r="K18"/>
  <c r="H20" i="3"/>
  <c r="E5"/>
  <c r="I13" i="2"/>
  <c r="M24" i="5"/>
  <c r="M25" s="1"/>
  <c r="C12" i="6"/>
  <c r="F7" i="3"/>
  <c r="F9"/>
  <c r="C14" i="6"/>
  <c r="C13"/>
  <c r="F8" i="3"/>
  <c r="K13" i="2"/>
  <c r="K25"/>
  <c r="K17"/>
  <c r="H11"/>
  <c r="K20"/>
  <c r="E56" i="5" l="1"/>
  <c r="K11" i="2"/>
  <c r="E14" i="6"/>
  <c r="D14"/>
  <c r="E20" i="3"/>
  <c r="F5"/>
  <c r="F20" s="1"/>
  <c r="C10" i="6"/>
  <c r="E13"/>
  <c r="D13"/>
  <c r="E12"/>
  <c r="D12"/>
  <c r="C26" l="1"/>
  <c r="D10"/>
  <c r="D26" s="1"/>
  <c r="E10"/>
  <c r="E57" i="5"/>
  <c r="E58" s="1"/>
  <c r="E59" s="1"/>
  <c r="C33" i="2" l="1"/>
  <c r="E26" i="6"/>
  <c r="C35" i="2" l="1"/>
  <c r="C34"/>
  <c r="F11" i="6"/>
  <c r="G11" s="1"/>
  <c r="F24"/>
  <c r="G24" s="1"/>
  <c r="F18"/>
  <c r="G18" s="1"/>
  <c r="F19"/>
  <c r="G19" s="1"/>
  <c r="F23"/>
  <c r="G23" s="1"/>
  <c r="F17"/>
  <c r="G17" s="1"/>
  <c r="F20"/>
  <c r="G20" s="1"/>
  <c r="F16"/>
  <c r="G16" s="1"/>
  <c r="F22"/>
  <c r="G22" s="1"/>
  <c r="F21"/>
  <c r="G21" s="1"/>
  <c r="F15"/>
  <c r="G15" s="1"/>
  <c r="F13"/>
  <c r="G13" s="1"/>
  <c r="F14"/>
  <c r="G14" s="1"/>
  <c r="F12"/>
  <c r="G12" s="1"/>
  <c r="F10"/>
  <c r="G10" l="1"/>
  <c r="G26" s="1"/>
  <c r="F26"/>
</calcChain>
</file>

<file path=xl/comments1.xml><?xml version="1.0" encoding="utf-8"?>
<comments xmlns="http://schemas.openxmlformats.org/spreadsheetml/2006/main">
  <authors>
    <author>UAEX</author>
  </authors>
  <commentList>
    <comment ref="D14" authorId="0">
      <text>
        <r>
          <rPr>
            <b/>
            <sz val="8"/>
            <color indexed="81"/>
            <rFont val="Tahoma"/>
            <family val="2"/>
          </rPr>
          <t>BCS</t>
        </r>
        <r>
          <rPr>
            <sz val="8"/>
            <color indexed="81"/>
            <rFont val="Tahoma"/>
            <family val="2"/>
          </rPr>
          <t xml:space="preserve">
3=thin
4=moderately thin
5=moderate
6=good
7=very good
</t>
        </r>
      </text>
    </comment>
  </commentList>
</comments>
</file>

<file path=xl/comments2.xml><?xml version="1.0" encoding="utf-8"?>
<comments xmlns="http://schemas.openxmlformats.org/spreadsheetml/2006/main">
  <authors>
    <author>UAEX</author>
    <author>Shane Gadberry</author>
  </authors>
  <commentList>
    <comment ref="K4" authorId="0">
      <text>
        <r>
          <rPr>
            <sz val="10"/>
            <color indexed="81"/>
            <rFont val="Tahoma"/>
            <family val="2"/>
          </rPr>
          <t>If Percent requirement is greater than or equal to 100, then the diet is within requirements.  This does not account for bioavailability of minerals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Enter or Delete a Feed Reference Number below to include or remove an ingredient.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sz val="10"/>
            <color indexed="81"/>
            <rFont val="Tahoma"/>
            <family val="2"/>
          </rPr>
          <t xml:space="preserve">Diet composition can be entered on a percentage basis, lbs per ton basis, or lbs of intake.  If formulating based on intake, total intake in cell c22 should match the intake level entered into cell c24
</t>
        </r>
      </text>
    </comment>
    <comment ref="I32" authorId="1">
      <text>
        <r>
          <rPr>
            <b/>
            <sz val="8"/>
            <color indexed="81"/>
            <rFont val="Tahoma"/>
            <family val="2"/>
          </rPr>
          <t>1 to 7 acceptable
1.5 to 2 is desired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1">
      <text>
        <r>
          <rPr>
            <sz val="10"/>
            <color indexed="81"/>
            <rFont val="Tahoma"/>
            <family val="2"/>
          </rPr>
          <t xml:space="preserve">This is energy allowable ADG.  This is an estimated rate of gain based on the energy content of the diet, assuming CP requirements are being met.
</t>
        </r>
      </text>
    </comment>
  </commentList>
</comments>
</file>

<file path=xl/comments3.xml><?xml version="1.0" encoding="utf-8"?>
<comments xmlns="http://schemas.openxmlformats.org/spreadsheetml/2006/main">
  <authors>
    <author>UAEX</author>
  </authors>
  <commentList>
    <comment ref="A25" authorId="0">
      <text>
        <r>
          <rPr>
            <sz val="8"/>
            <color indexed="81"/>
            <rFont val="Tahoma"/>
            <family val="2"/>
          </rPr>
          <t xml:space="preserve">Entering Y here will calculate the amount of salt required for salt-limiting intake.
</t>
        </r>
      </text>
    </comment>
  </commentList>
</comments>
</file>

<file path=xl/sharedStrings.xml><?xml version="1.0" encoding="utf-8"?>
<sst xmlns="http://schemas.openxmlformats.org/spreadsheetml/2006/main" count="825" uniqueCount="576">
  <si>
    <t>Name:</t>
  </si>
  <si>
    <t>Address:</t>
  </si>
  <si>
    <t>City:</t>
  </si>
  <si>
    <t>State:</t>
  </si>
  <si>
    <t>Zip:</t>
  </si>
  <si>
    <t>Phone:</t>
  </si>
  <si>
    <t>Cattle Grower Info:</t>
  </si>
  <si>
    <t>Start date:</t>
  </si>
  <si>
    <t>Estimated Feeding Days</t>
  </si>
  <si>
    <t>lbs</t>
  </si>
  <si>
    <t>2-00-464</t>
  </si>
  <si>
    <t>Bahiagrass 30% Dry Matter</t>
  </si>
  <si>
    <t>1-00-887</t>
  </si>
  <si>
    <t>Brome Hay Pre-bloom</t>
  </si>
  <si>
    <t>1-05-633</t>
  </si>
  <si>
    <t>Brome Hay Mid Bloom</t>
  </si>
  <si>
    <t>1-00-888</t>
  </si>
  <si>
    <t>Brome Hay Late bloom</t>
  </si>
  <si>
    <t>1-00-944</t>
  </si>
  <si>
    <t>Brome Hay Mature</t>
  </si>
  <si>
    <t>1-01-912</t>
  </si>
  <si>
    <t>Fescue Meadow Hay</t>
  </si>
  <si>
    <t>1-05-684</t>
  </si>
  <si>
    <t>Fescue, Alta Hay</t>
  </si>
  <si>
    <t>1-09-188</t>
  </si>
  <si>
    <t>Fescue, K31 Hay, Full bloom</t>
  </si>
  <si>
    <t>1-09-189</t>
  </si>
  <si>
    <t>Fescue, K31 Mature</t>
  </si>
  <si>
    <t>1-03-425</t>
  </si>
  <si>
    <t>Orchardgrass Hay, Early bloom</t>
  </si>
  <si>
    <t>1-03-428</t>
  </si>
  <si>
    <t>Orchardgrass Hay, Late bloom</t>
  </si>
  <si>
    <t>1-04-077</t>
  </si>
  <si>
    <t>Ryegrass Hay</t>
  </si>
  <si>
    <t>1-04-480</t>
  </si>
  <si>
    <t>Sorghum Sudan Hay</t>
  </si>
  <si>
    <t>2-04-484</t>
  </si>
  <si>
    <t>Sorghum-Sudan Pasture</t>
  </si>
  <si>
    <t>3-04-499</t>
  </si>
  <si>
    <t>Sorghum-Sudan Silage</t>
  </si>
  <si>
    <t>1-04-881</t>
  </si>
  <si>
    <t>Timothy Hay Late Vegetative</t>
  </si>
  <si>
    <t>1-04-882</t>
  </si>
  <si>
    <t>Timothy Hay Early bloom</t>
  </si>
  <si>
    <t>1-04-883</t>
  </si>
  <si>
    <t>Timothy Hay Mid bloom</t>
  </si>
  <si>
    <t>1-04-884</t>
  </si>
  <si>
    <t>Timothy Hay Full bloom</t>
  </si>
  <si>
    <t xml:space="preserve">Blank </t>
  </si>
  <si>
    <t>2-00-956</t>
  </si>
  <si>
    <t>Grass Pasture Spring</t>
  </si>
  <si>
    <t>Grass Pasture Summer</t>
  </si>
  <si>
    <t>Grass Pasture Fall</t>
  </si>
  <si>
    <t>Mix Pasture Spring</t>
  </si>
  <si>
    <t>Mix Pasture Summer</t>
  </si>
  <si>
    <t>1-00-54-S</t>
  </si>
  <si>
    <t>Alfalfa Hay Early Vegetative</t>
  </si>
  <si>
    <t>1-00-N</t>
  </si>
  <si>
    <t>1-00-059-S</t>
  </si>
  <si>
    <t>Alfalfa Hay Late Vegetative</t>
  </si>
  <si>
    <t>Alfalfa Hay Early Bloom</t>
  </si>
  <si>
    <t>1-00-063-S</t>
  </si>
  <si>
    <t>Alfalfa Hay Mid Bloom</t>
  </si>
  <si>
    <t>1-00-068-S</t>
  </si>
  <si>
    <t>Alfalfa Hay Full Bloom</t>
  </si>
  <si>
    <t>1-00-070-S</t>
  </si>
  <si>
    <t>Alfalfa Hay Late Bloom</t>
  </si>
  <si>
    <t>1-00-71-S</t>
  </si>
  <si>
    <t>Alfalfa Hay Mature</t>
  </si>
  <si>
    <t>Alfalfa Hay Seeded</t>
  </si>
  <si>
    <t>Alfalfa Hay Weathered</t>
  </si>
  <si>
    <t>1-00-022</t>
  </si>
  <si>
    <t>Alfalfa Meal dehydrated 15%CP</t>
  </si>
  <si>
    <t>3-00-216</t>
  </si>
  <si>
    <t>Alfalfa Silage Early Bloom</t>
  </si>
  <si>
    <t>3-00-217</t>
  </si>
  <si>
    <t>Alfalfa Silage Mid Bloom</t>
  </si>
  <si>
    <t>3-00-218</t>
  </si>
  <si>
    <t>Alfalfa Silage Full Bloom</t>
  </si>
  <si>
    <t>1-05-044</t>
  </si>
  <si>
    <t>Birdsfoot Trefoil, Hay</t>
  </si>
  <si>
    <t>1-01-378</t>
  </si>
  <si>
    <t>Clover Ladino Hay</t>
  </si>
  <si>
    <t>1-01-415</t>
  </si>
  <si>
    <t>Clover Red Hay</t>
  </si>
  <si>
    <t>1-05-106</t>
  </si>
  <si>
    <t>Vetch Hay</t>
  </si>
  <si>
    <t>Leg Pasture Spring</t>
  </si>
  <si>
    <t>2-00-181</t>
  </si>
  <si>
    <t>Leg Pasture Summer</t>
  </si>
  <si>
    <t>Barley Silage</t>
  </si>
  <si>
    <t>1-00-498</t>
  </si>
  <si>
    <t>Barley Straw</t>
  </si>
  <si>
    <t>1-28-234</t>
  </si>
  <si>
    <t>Corn Cobs Ground</t>
  </si>
  <si>
    <t>3-28-250-N</t>
  </si>
  <si>
    <t>Corn Silage 25% Grain</t>
  </si>
  <si>
    <t>3-28-250-S</t>
  </si>
  <si>
    <t>3-28-250</t>
  </si>
  <si>
    <t>Corn Silage 35% Grain</t>
  </si>
  <si>
    <t>Corn Silage 40% Grain</t>
  </si>
  <si>
    <t>Corn Silage 40% GR +NPN</t>
  </si>
  <si>
    <t>Corn Silage 40% GR +NPN+Ca</t>
  </si>
  <si>
    <t>Corn Silage 45% Grain</t>
  </si>
  <si>
    <t>Corn Silage 45% GR +NPN</t>
  </si>
  <si>
    <t>Corn Silage 45% GR +NPN+Ca</t>
  </si>
  <si>
    <t>Corn Silage 50% Grain</t>
  </si>
  <si>
    <t>CS50% + NPN+CA</t>
  </si>
  <si>
    <t>3-28-252</t>
  </si>
  <si>
    <t>Corn Silage Immature (no Ears)</t>
  </si>
  <si>
    <t>3-28-251</t>
  </si>
  <si>
    <t>Corn Silage Stalklage</t>
  </si>
  <si>
    <t>Corn Stalks Grazing</t>
  </si>
  <si>
    <t>3-03-296</t>
  </si>
  <si>
    <t>Oat Silage Dough</t>
  </si>
  <si>
    <t>1-03-283</t>
  </si>
  <si>
    <t>Oat Straw</t>
  </si>
  <si>
    <t>1-03-280</t>
  </si>
  <si>
    <t>Oat Hay</t>
  </si>
  <si>
    <t>3-04-323</t>
  </si>
  <si>
    <t>Sorghum  Silage</t>
  </si>
  <si>
    <t>3-05-184</t>
  </si>
  <si>
    <t>Wheat Silage dough</t>
  </si>
  <si>
    <t>1-05-175</t>
  </si>
  <si>
    <t>Wheat Straw</t>
  </si>
  <si>
    <t>4-00-545</t>
  </si>
  <si>
    <t>Barley Malt Sprouts w/hulls</t>
  </si>
  <si>
    <t>4-00-549</t>
  </si>
  <si>
    <t>Barley Grain Heavy</t>
  </si>
  <si>
    <t>Barley Grain Light</t>
  </si>
  <si>
    <t>4-02-887</t>
  </si>
  <si>
    <t>Corn Hominy</t>
  </si>
  <si>
    <t>4-20-698</t>
  </si>
  <si>
    <t>Corn Grain Cracked</t>
  </si>
  <si>
    <t>Corn Dry Ear 45 lb/bu</t>
  </si>
  <si>
    <t>04-28-238</t>
  </si>
  <si>
    <t>Corn Dry Ear 56 lb/bu</t>
  </si>
  <si>
    <t>Corn Dry Grain 45 lb/bu</t>
  </si>
  <si>
    <t>04-02-931</t>
  </si>
  <si>
    <t>Corn Ground Grain 56 lb/bu</t>
  </si>
  <si>
    <t>Corn Dry Grain 56 lb/bu</t>
  </si>
  <si>
    <t>4-20-224</t>
  </si>
  <si>
    <t>Corn Grain Flaked</t>
  </si>
  <si>
    <t>Corn HM Ear 56 lb/bu</t>
  </si>
  <si>
    <t>Corn HM Grain 45 lb/bu</t>
  </si>
  <si>
    <t>04-20-771</t>
  </si>
  <si>
    <t>Corn HM Grain 56 lb/bu</t>
  </si>
  <si>
    <t>5-01-614</t>
  </si>
  <si>
    <t>Cottonseed Black Whole</t>
  </si>
  <si>
    <t>Cottonseed High Lint</t>
  </si>
  <si>
    <t>5-01-617</t>
  </si>
  <si>
    <t>Cottonseed Meal - mech</t>
  </si>
  <si>
    <t>5-07-873</t>
  </si>
  <si>
    <t>Cottonseed Meal - Sol-41%CP</t>
  </si>
  <si>
    <t>5-01-630</t>
  </si>
  <si>
    <t>Cottonseed Meal - Sol-43%CP</t>
  </si>
  <si>
    <t>4-00-668</t>
  </si>
  <si>
    <t>Molasses Beet</t>
  </si>
  <si>
    <t>4-04-696</t>
  </si>
  <si>
    <t>Molasses Cane</t>
  </si>
  <si>
    <t>4-03-318</t>
  </si>
  <si>
    <t>Oats 32 lb/bu</t>
  </si>
  <si>
    <t>4-03-309</t>
  </si>
  <si>
    <t>Oats 38 lb/bu</t>
  </si>
  <si>
    <t>4-03-928</t>
  </si>
  <si>
    <t>Rice Bran</t>
  </si>
  <si>
    <t>4-03-938</t>
  </si>
  <si>
    <t>Rice Grain Ground</t>
  </si>
  <si>
    <t>4-03-932</t>
  </si>
  <si>
    <t>Rice Grain Polished</t>
  </si>
  <si>
    <t>4-04-047</t>
  </si>
  <si>
    <t>Rye Grain</t>
  </si>
  <si>
    <t>4-04-383</t>
  </si>
  <si>
    <t>Sorghum  Dry grain</t>
  </si>
  <si>
    <t>Sorghum  Rolled grain</t>
  </si>
  <si>
    <t>Sorghum  Steam flaked</t>
  </si>
  <si>
    <t xml:space="preserve">Tapioca </t>
  </si>
  <si>
    <t>4-05-211</t>
  </si>
  <si>
    <t>Wheat Ground</t>
  </si>
  <si>
    <t>4-05-205</t>
  </si>
  <si>
    <t>Wheat  Middlings</t>
  </si>
  <si>
    <t>4-05-268</t>
  </si>
  <si>
    <t>Wheat Grain Hard red spring</t>
  </si>
  <si>
    <t>4-05-337</t>
  </si>
  <si>
    <t>Wheat Grain Soft white</t>
  </si>
  <si>
    <t>5-02-142</t>
  </si>
  <si>
    <t>Brewers Grain 21% Dry Matter</t>
  </si>
  <si>
    <t>5-02-141</t>
  </si>
  <si>
    <t>Brewers Grain Dehydrated</t>
  </si>
  <si>
    <t>5-03-871</t>
  </si>
  <si>
    <t>Canola Meal</t>
  </si>
  <si>
    <t>Coconut  Meal</t>
  </si>
  <si>
    <t>Feed</t>
  </si>
  <si>
    <t>5-28-243</t>
  </si>
  <si>
    <t>Corn Gluten Feed</t>
  </si>
  <si>
    <t>5-02-900</t>
  </si>
  <si>
    <t>Corn Gluten Meal</t>
  </si>
  <si>
    <t>5-28-242</t>
  </si>
  <si>
    <t>Corn Gluten Meal 60%CP</t>
  </si>
  <si>
    <t>5-02-843</t>
  </si>
  <si>
    <t>Distillers Gr.  + solubles</t>
  </si>
  <si>
    <t>5-28-236</t>
  </si>
  <si>
    <t>Distillers Gr. Dehy - Light</t>
  </si>
  <si>
    <t>Distillers Gr. Dehy - Inter.</t>
  </si>
  <si>
    <t>Distillers Gr. Dehy - Dark</t>
  </si>
  <si>
    <t>Distillers Gr. Dehy - Very Dark</t>
  </si>
  <si>
    <t>5-28-844</t>
  </si>
  <si>
    <t>Distillers Gr. solubles dehy</t>
  </si>
  <si>
    <t>Distillers Gr. Wet</t>
  </si>
  <si>
    <t xml:space="preserve">Lupins </t>
  </si>
  <si>
    <t>5-03-650</t>
  </si>
  <si>
    <t>Peanut Meal</t>
  </si>
  <si>
    <t>5-20-637</t>
  </si>
  <si>
    <t>Soybean Meal - 44</t>
  </si>
  <si>
    <t>5-04-612</t>
  </si>
  <si>
    <t>Soybean Meal - 49</t>
  </si>
  <si>
    <t>5-04-610</t>
  </si>
  <si>
    <t>Soybean Whole</t>
  </si>
  <si>
    <t>Soybean Whole Roasted</t>
  </si>
  <si>
    <t>5-04-739</t>
  </si>
  <si>
    <t>Sunflower Seed meal</t>
  </si>
  <si>
    <t xml:space="preserve">Urea </t>
  </si>
  <si>
    <t>4-00-424</t>
  </si>
  <si>
    <t>Apple Pomace</t>
  </si>
  <si>
    <t>4-00-466</t>
  </si>
  <si>
    <t>Bakery  Waste</t>
  </si>
  <si>
    <t>4-00-675</t>
  </si>
  <si>
    <t>Beet Pulp +Steffen's filt</t>
  </si>
  <si>
    <t>4-00-669</t>
  </si>
  <si>
    <t>Beet Pulp Dehydrated</t>
  </si>
  <si>
    <t>4-01-237</t>
  </si>
  <si>
    <t>Citrus Pulp Dehydrated</t>
  </si>
  <si>
    <t>1-02-208</t>
  </si>
  <si>
    <t>Grape Pomace</t>
  </si>
  <si>
    <t>1-04-560</t>
  </si>
  <si>
    <t>Soybean Hulls</t>
  </si>
  <si>
    <t>5-00-380</t>
  </si>
  <si>
    <t xml:space="preserve">Bloodmeal </t>
  </si>
  <si>
    <t>5-03-795</t>
  </si>
  <si>
    <t>Feather Meal</t>
  </si>
  <si>
    <t>5-02-009</t>
  </si>
  <si>
    <t xml:space="preserve">Fishmeal </t>
  </si>
  <si>
    <t>5-00-385</t>
  </si>
  <si>
    <t>Meat  Meal</t>
  </si>
  <si>
    <t>4-00-376</t>
  </si>
  <si>
    <t xml:space="preserve">Tallow       </t>
  </si>
  <si>
    <t>4-08-134</t>
  </si>
  <si>
    <t>Whey Acid</t>
  </si>
  <si>
    <t>4-01-186</t>
  </si>
  <si>
    <t>Whey Delact.</t>
  </si>
  <si>
    <t>6-09-338</t>
  </si>
  <si>
    <t>Ammonium Phos (Mono)</t>
  </si>
  <si>
    <t>6-00-370</t>
  </si>
  <si>
    <t>Ammonium Phos (Dibasic)</t>
  </si>
  <si>
    <t>6-09-339</t>
  </si>
  <si>
    <t>Ammonium Sulfate</t>
  </si>
  <si>
    <t>6-00-400</t>
  </si>
  <si>
    <t xml:space="preserve">Bone Meal  </t>
  </si>
  <si>
    <t>6-01-069</t>
  </si>
  <si>
    <t>Calcium Carbonate</t>
  </si>
  <si>
    <t>6-01-089</t>
  </si>
  <si>
    <t>Calcium Sulfate</t>
  </si>
  <si>
    <t>6-01-566</t>
  </si>
  <si>
    <t>Cobalt Carbonate</t>
  </si>
  <si>
    <t>6-01-720</t>
  </si>
  <si>
    <t>Copper Sulfate</t>
  </si>
  <si>
    <t>6-01-080</t>
  </si>
  <si>
    <t>Dicalcium  Phosphate</t>
  </si>
  <si>
    <t>6-01-842</t>
  </si>
  <si>
    <t xml:space="preserve">EDTA  </t>
  </si>
  <si>
    <t>6-20-734</t>
  </si>
  <si>
    <t xml:space="preserve">Iron Sulfate  </t>
  </si>
  <si>
    <t>6-02-632</t>
  </si>
  <si>
    <t xml:space="preserve">Limestone  </t>
  </si>
  <si>
    <t>6-02-633</t>
  </si>
  <si>
    <t>Limestone Magnesium</t>
  </si>
  <si>
    <t>6-02-754</t>
  </si>
  <si>
    <t>Magnesium Carbonate</t>
  </si>
  <si>
    <t>6-02-756</t>
  </si>
  <si>
    <t>Magnesium Oxide</t>
  </si>
  <si>
    <t>6-03-056</t>
  </si>
  <si>
    <t>Manganese Oxide</t>
  </si>
  <si>
    <t>6-03-036</t>
  </si>
  <si>
    <t>Manganese Carbonate</t>
  </si>
  <si>
    <t>6-04-288</t>
  </si>
  <si>
    <t>Mono-Sodium Phosphate</t>
  </si>
  <si>
    <t>6-03-481</t>
  </si>
  <si>
    <t>Oystershell Ground</t>
  </si>
  <si>
    <t>6-01-780</t>
  </si>
  <si>
    <t>Phosphate Deflourinated</t>
  </si>
  <si>
    <t>6-03-945</t>
  </si>
  <si>
    <t>6-03-946</t>
  </si>
  <si>
    <t>6-03-947</t>
  </si>
  <si>
    <t>6-03-707</t>
  </si>
  <si>
    <t>6-29-493</t>
  </si>
  <si>
    <t>6-03-759</t>
  </si>
  <si>
    <t>6-06-098</t>
  </si>
  <si>
    <t>Salt</t>
  </si>
  <si>
    <t>6-04-152</t>
  </si>
  <si>
    <t>6-04-272</t>
  </si>
  <si>
    <t>6-26-013</t>
  </si>
  <si>
    <t>6-04-292</t>
  </si>
  <si>
    <t>6-05-553</t>
  </si>
  <si>
    <t>6-05-555</t>
  </si>
  <si>
    <t>6-03-755</t>
  </si>
  <si>
    <t>6-01-082</t>
  </si>
  <si>
    <t>6-08-076</t>
  </si>
  <si>
    <t>Feed No.</t>
  </si>
  <si>
    <t>Common Name</t>
  </si>
  <si>
    <t>Int. Ref.</t>
  </si>
  <si>
    <t xml:space="preserve">Conc </t>
  </si>
  <si>
    <t>% DM</t>
  </si>
  <si>
    <t>Forage</t>
  </si>
  <si>
    <t>Dry Matter</t>
  </si>
  <si>
    <t>%</t>
  </si>
  <si>
    <t>eNDF</t>
  </si>
  <si>
    <t>%NDF</t>
  </si>
  <si>
    <t>TDN</t>
  </si>
  <si>
    <t>ME</t>
  </si>
  <si>
    <t>Nem</t>
  </si>
  <si>
    <t>CP</t>
  </si>
  <si>
    <t>%DM</t>
  </si>
  <si>
    <t>DIP</t>
  </si>
  <si>
    <t>%CP</t>
  </si>
  <si>
    <t>Fat</t>
  </si>
  <si>
    <t>Ca</t>
  </si>
  <si>
    <t>P</t>
  </si>
  <si>
    <t>Mg</t>
  </si>
  <si>
    <t>K</t>
  </si>
  <si>
    <t>Na</t>
  </si>
  <si>
    <t>S</t>
  </si>
  <si>
    <t>Co</t>
  </si>
  <si>
    <t>Cu</t>
  </si>
  <si>
    <t>I</t>
  </si>
  <si>
    <t>Fe</t>
  </si>
  <si>
    <t>Se</t>
  </si>
  <si>
    <t>Zn</t>
  </si>
  <si>
    <t>Vit A</t>
  </si>
  <si>
    <t>Vit D</t>
  </si>
  <si>
    <t>Vit E</t>
  </si>
  <si>
    <t>ppm</t>
  </si>
  <si>
    <t>103 IU/kg</t>
  </si>
  <si>
    <t>IU/kg</t>
  </si>
  <si>
    <t>NDF</t>
  </si>
  <si>
    <t>Phosphate Rock</t>
  </si>
  <si>
    <t>Phosphate Rock - low Fl</t>
  </si>
  <si>
    <t>Phosphate Rock - soft</t>
  </si>
  <si>
    <t>Phosphate Mono-Mono</t>
  </si>
  <si>
    <t>Phosphoric Acid</t>
  </si>
  <si>
    <t>Potassium Bicarbonate</t>
  </si>
  <si>
    <t>Potassium Iodide</t>
  </si>
  <si>
    <t>Potassium Sulfate</t>
  </si>
  <si>
    <t>Sodium Bicarbonate</t>
  </si>
  <si>
    <t>Sodium Selenite</t>
  </si>
  <si>
    <t>Sodium Sulfate</t>
  </si>
  <si>
    <t>Zinc Oxide</t>
  </si>
  <si>
    <t>Zinc Sulfate</t>
  </si>
  <si>
    <t>Potassium Chloride</t>
  </si>
  <si>
    <t>Calcium Phosphate (Mono)</t>
  </si>
  <si>
    <t>Sodium Tripoly phosphate</t>
  </si>
  <si>
    <t>As-Is</t>
  </si>
  <si>
    <t>No</t>
  </si>
  <si>
    <t>Ingredient</t>
  </si>
  <si>
    <t>Name</t>
  </si>
  <si>
    <t>Feed Reference No. QuickFinder</t>
  </si>
  <si>
    <t>Ingredient Name</t>
  </si>
  <si>
    <t>DM</t>
  </si>
  <si>
    <t>Mcal</t>
  </si>
  <si>
    <t>TOTAL</t>
  </si>
  <si>
    <t>NUTRIENT PROFILE</t>
  </si>
  <si>
    <t>DIET</t>
  </si>
  <si>
    <t>ANIMAL</t>
  </si>
  <si>
    <t>Mcal/lb</t>
  </si>
  <si>
    <t>REQ.</t>
  </si>
  <si>
    <t>AS-IS</t>
  </si>
  <si>
    <t>INTAKE</t>
  </si>
  <si>
    <t>Growing Calves</t>
  </si>
  <si>
    <t>Growing Yearlings</t>
  </si>
  <si>
    <t>Management Adjustments</t>
  </si>
  <si>
    <t>SBW.75</t>
  </si>
  <si>
    <t>Nemdivisor</t>
  </si>
  <si>
    <t>ADTV</t>
  </si>
  <si>
    <t>BFAF</t>
  </si>
  <si>
    <t>EQEBW</t>
  </si>
  <si>
    <t>Growth Implant (y/n)</t>
  </si>
  <si>
    <t>Temperature</t>
  </si>
  <si>
    <t>Mild</t>
  </si>
  <si>
    <t>temp</t>
  </si>
  <si>
    <t>Mud</t>
  </si>
  <si>
    <t>None</t>
  </si>
  <si>
    <t>Severe</t>
  </si>
  <si>
    <t>Maint Energy</t>
  </si>
  <si>
    <t>Ionophore Fed (y/n)</t>
  </si>
  <si>
    <t>Start Body Condition</t>
  </si>
  <si>
    <t>BODY COMP</t>
  </si>
  <si>
    <t>Im</t>
  </si>
  <si>
    <t>RE</t>
  </si>
  <si>
    <t>WIND</t>
  </si>
  <si>
    <t>Hair</t>
  </si>
  <si>
    <t>EI</t>
  </si>
  <si>
    <t>EI-2</t>
  </si>
  <si>
    <t>Calf age (months)</t>
  </si>
  <si>
    <t>TI</t>
  </si>
  <si>
    <t>HE</t>
  </si>
  <si>
    <t>SA</t>
  </si>
  <si>
    <t>LCT</t>
  </si>
  <si>
    <t>Insulation</t>
  </si>
  <si>
    <t>TEMP</t>
  </si>
  <si>
    <t>Mecs</t>
  </si>
  <si>
    <t>Nemcs</t>
  </si>
  <si>
    <t>Nemhs</t>
  </si>
  <si>
    <t>Maint Protein</t>
  </si>
  <si>
    <t>CP maint</t>
  </si>
  <si>
    <t>g/d</t>
  </si>
  <si>
    <t>Mcal/d</t>
  </si>
  <si>
    <t>Growth Req</t>
  </si>
  <si>
    <t>EBW</t>
  </si>
  <si>
    <t>EBG</t>
  </si>
  <si>
    <t>EQSBW</t>
  </si>
  <si>
    <t>SBW</t>
  </si>
  <si>
    <t>NPg</t>
  </si>
  <si>
    <t>SWG</t>
  </si>
  <si>
    <t>CPg</t>
  </si>
  <si>
    <t>kg/d</t>
  </si>
  <si>
    <t>kg</t>
  </si>
  <si>
    <t>lb</t>
  </si>
  <si>
    <t>unshrunk WG</t>
  </si>
  <si>
    <t>Req</t>
  </si>
  <si>
    <t>PREDICTION OF ADG FROM DIET NEG</t>
  </si>
  <si>
    <t xml:space="preserve"> --------</t>
  </si>
  <si>
    <t xml:space="preserve"> </t>
  </si>
  <si>
    <t>Calf Weight (lbs)</t>
  </si>
  <si>
    <t>Desired Rate of Gain (lbs/d)</t>
  </si>
  <si>
    <t>PROVIDED</t>
  </si>
  <si>
    <t>Dry Matter %</t>
  </si>
  <si>
    <t>NDF %</t>
  </si>
  <si>
    <t>TDN %</t>
  </si>
  <si>
    <t>ME (Mcal/lb)</t>
  </si>
  <si>
    <t>CP %</t>
  </si>
  <si>
    <t>DIP (%CP)</t>
  </si>
  <si>
    <t>Fat %</t>
  </si>
  <si>
    <t>Ca %</t>
  </si>
  <si>
    <t>P %</t>
  </si>
  <si>
    <t>Mg %</t>
  </si>
  <si>
    <t>K %</t>
  </si>
  <si>
    <t>Na %</t>
  </si>
  <si>
    <t>S %</t>
  </si>
  <si>
    <t>Co ppm</t>
  </si>
  <si>
    <t>Cu ppm</t>
  </si>
  <si>
    <t>I ppm</t>
  </si>
  <si>
    <t>Fe ppm</t>
  </si>
  <si>
    <t>Se ppm</t>
  </si>
  <si>
    <t>Zn ppm</t>
  </si>
  <si>
    <t>$/Cwt</t>
  </si>
  <si>
    <t>$</t>
  </si>
  <si>
    <t>Ca Req</t>
  </si>
  <si>
    <t>Maint</t>
  </si>
  <si>
    <t>Growth</t>
  </si>
  <si>
    <t>Total</t>
  </si>
  <si>
    <t>P Req</t>
  </si>
  <si>
    <t>Number of Head</t>
  </si>
  <si>
    <t>Start weight (lbs)</t>
  </si>
  <si>
    <t>Target Ending weight (lbs)</t>
  </si>
  <si>
    <t>lbs/d</t>
  </si>
  <si>
    <t>CALF BREED TYPES</t>
  </si>
  <si>
    <t>BRAHMAN</t>
  </si>
  <si>
    <t>BRAHMAN CROSS</t>
  </si>
  <si>
    <t>ENGLISH</t>
  </si>
  <si>
    <t>CONTINENTAL (GROWTH BREEDS)</t>
  </si>
  <si>
    <t>CONTINENTAL (MATERNAL BREEDS)</t>
  </si>
  <si>
    <t>DAIRY BREEDS</t>
  </si>
  <si>
    <t>NEM ADJ</t>
  </si>
  <si>
    <t>ENGLISH x CONTINENTAL (GROWTH)</t>
  </si>
  <si>
    <t>ENGLISH x CONTINENTAL (MATERNAL)</t>
  </si>
  <si>
    <t>BI</t>
  </si>
  <si>
    <t>BREED ADJ FOR INTAKE AND NEM</t>
  </si>
  <si>
    <t>Sex</t>
  </si>
  <si>
    <t>Sex ADJ for NEM</t>
  </si>
  <si>
    <t>SEX</t>
  </si>
  <si>
    <t>As-Fed Feed Cost per lb gain</t>
  </si>
  <si>
    <t>eNDF (%DM)</t>
  </si>
  <si>
    <t>Mn ppm</t>
  </si>
  <si>
    <t>NEm (Mcal/lb)</t>
  </si>
  <si>
    <t>NEg (Mcal/lb)</t>
  </si>
  <si>
    <t>NEm</t>
  </si>
  <si>
    <t>NEg</t>
  </si>
  <si>
    <t xml:space="preserve">Mn </t>
  </si>
  <si>
    <t>Hot (Avg 86F)</t>
  </si>
  <si>
    <t>Mild (Avg 68F)</t>
  </si>
  <si>
    <t>Cool (Avg 50F)</t>
  </si>
  <si>
    <t>Cold (Avg 32F)</t>
  </si>
  <si>
    <t>Very Cold (Avg 14F)</t>
  </si>
  <si>
    <t>HAIR DEPTH</t>
  </si>
  <si>
    <t>WIND SPEED</t>
  </si>
  <si>
    <t>Note - only uses nrc mud2 code factors 1,2 and 4</t>
  </si>
  <si>
    <t>As-Fed</t>
  </si>
  <si>
    <t>Protein Supply (MP system)</t>
  </si>
  <si>
    <t>Mpfeed</t>
  </si>
  <si>
    <t>MCP</t>
  </si>
  <si>
    <t>eNDFadj</t>
  </si>
  <si>
    <t>Mpbact</t>
  </si>
  <si>
    <t>Mptotal</t>
  </si>
  <si>
    <t>COTTONSEED HULLS</t>
  </si>
  <si>
    <t>CORN GRAIN SCREENINGS</t>
  </si>
  <si>
    <t>Small Grain Silage AR AVG</t>
  </si>
  <si>
    <t>PERFORMANCE INDICATORS</t>
  </si>
  <si>
    <t>comp</t>
  </si>
  <si>
    <t>wt</t>
  </si>
  <si>
    <t>intake lbs</t>
  </si>
  <si>
    <t>comp %</t>
  </si>
  <si>
    <t>Energy Predicted Rate of Gain (lbs/d)</t>
  </si>
  <si>
    <t>Composition</t>
  </si>
  <si>
    <t>BROILER LITTER</t>
  </si>
  <si>
    <t>Arkansas Mixed Grass Hay</t>
  </si>
  <si>
    <t>Arkansas Bahia Hay Avg</t>
  </si>
  <si>
    <t>Arkansas Bermuda Hay Avg</t>
  </si>
  <si>
    <t>Arkansas Fescue Hay Avg</t>
  </si>
  <si>
    <t>Ammonium chloride</t>
  </si>
  <si>
    <t>Soybean screenings</t>
  </si>
  <si>
    <t>Estimated mature weight (lbs)</t>
  </si>
  <si>
    <t>n</t>
  </si>
  <si>
    <t>y</t>
  </si>
  <si>
    <t>Requirement</t>
  </si>
  <si>
    <t>Percent</t>
  </si>
  <si>
    <t>Dry Matter Feed Conversion (Feed:Gain)</t>
  </si>
  <si>
    <t>Feed Blending Sheet</t>
  </si>
  <si>
    <t>Items to Keep</t>
  </si>
  <si>
    <t>Sum</t>
  </si>
  <si>
    <t>Selected</t>
  </si>
  <si>
    <t>Ingredients</t>
  </si>
  <si>
    <t>Salt Limit Intake</t>
  </si>
  <si>
    <t>(Y or N)</t>
  </si>
  <si>
    <t>Intake</t>
  </si>
  <si>
    <t>(lbs/hd)</t>
  </si>
  <si>
    <t>Increased by 5%</t>
  </si>
  <si>
    <t>Increased by 4%</t>
  </si>
  <si>
    <t>As-Fed Diet</t>
  </si>
  <si>
    <t>Predicted DMI: lbs/hd/d, %BW</t>
  </si>
  <si>
    <t>DMI Adjuster</t>
  </si>
  <si>
    <t>% Predicted DMI</t>
  </si>
  <si>
    <t>Estimated DMI: lbs/hd/d, %BW</t>
  </si>
  <si>
    <t>Dry Matter Total</t>
  </si>
  <si>
    <t>As-Fed Total</t>
  </si>
  <si>
    <t>Peanut Hulls</t>
  </si>
  <si>
    <t>Rice dust</t>
  </si>
  <si>
    <t>Complete mineral</t>
  </si>
  <si>
    <t>Gin Trash/Mote Trash/Tailings</t>
  </si>
  <si>
    <t>Cereal Byproduct</t>
  </si>
  <si>
    <t>Peanut skins</t>
  </si>
  <si>
    <t>BALANCE ISSUES</t>
  </si>
  <si>
    <t>Current Ca:P</t>
  </si>
  <si>
    <t>:1</t>
  </si>
  <si>
    <t>DM COMP*</t>
  </si>
  <si>
    <t>(lbs)</t>
  </si>
  <si>
    <t>Total Wt Based Batch Size (lbs)</t>
  </si>
  <si>
    <t>Wt</t>
  </si>
  <si>
    <t>Based</t>
  </si>
  <si>
    <t>Batch (lbs)</t>
  </si>
  <si>
    <t>(% of diet)</t>
  </si>
  <si>
    <t>Bermuda Pasture Fall</t>
  </si>
  <si>
    <t>Skeet 2 analysis</t>
  </si>
  <si>
    <t>Bermuda Pasture Summer</t>
  </si>
  <si>
    <t>Desired Rate of Gain</t>
  </si>
  <si>
    <t>mg/d</t>
  </si>
  <si>
    <t xml:space="preserve">*Values are not valid if numbers are missing </t>
  </si>
  <si>
    <t xml:space="preserve">from an ingredient's profile in the feed list </t>
  </si>
  <si>
    <t>Steers or Heifers</t>
  </si>
  <si>
    <t>Bulls</t>
  </si>
  <si>
    <t>CALF SEX</t>
  </si>
  <si>
    <t>Sex (Enter #)</t>
  </si>
  <si>
    <t>Calf Breed Type (Enter #)</t>
  </si>
  <si>
    <t>Steers or heifers</t>
  </si>
  <si>
    <t>original 0.9 but changed to 1.1 to reflect lower BW gain w/BI cattle</t>
  </si>
  <si>
    <t>original 0.95 but changed to 1.05 to reflect lower BW gain w/BI cattle</t>
  </si>
  <si>
    <t>NEM ADJ and Intake adjustments for breed changed slightly from NRC</t>
  </si>
  <si>
    <t>Montgomery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</si>
</sst>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0.0"/>
    <numFmt numFmtId="166" formatCode="&quot;$&quot;#,##0.00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10"/>
      <color indexed="57"/>
      <name val="Arial"/>
      <family val="2"/>
    </font>
    <font>
      <b/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Courier"/>
      <family val="3"/>
    </font>
    <font>
      <b/>
      <sz val="8"/>
      <color indexed="8"/>
      <name val="Courier"/>
      <family val="3"/>
    </font>
    <font>
      <b/>
      <sz val="8"/>
      <name val="Courier"/>
      <family val="3"/>
    </font>
    <font>
      <b/>
      <sz val="8"/>
      <color indexed="48"/>
      <name val="Courier"/>
      <family val="3"/>
    </font>
    <font>
      <b/>
      <sz val="8"/>
      <color indexed="8"/>
      <name val="Arial"/>
      <family val="2"/>
    </font>
    <font>
      <b/>
      <sz val="8"/>
      <color indexed="10"/>
      <name val="Courier"/>
      <family val="3"/>
    </font>
    <font>
      <b/>
      <sz val="8"/>
      <color indexed="4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2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64" fontId="0" fillId="0" borderId="0" xfId="0" applyNumberFormat="1"/>
    <xf numFmtId="0" fontId="2" fillId="0" borderId="0" xfId="0" applyFont="1"/>
    <xf numFmtId="1" fontId="0" fillId="0" borderId="0" xfId="0" applyNumberFormat="1"/>
    <xf numFmtId="0" fontId="10" fillId="2" borderId="0" xfId="0" applyFont="1" applyFill="1"/>
    <xf numFmtId="0" fontId="10" fillId="0" borderId="0" xfId="0" applyFont="1" applyFill="1"/>
    <xf numFmtId="2" fontId="10" fillId="0" borderId="0" xfId="0" applyNumberFormat="1" applyFont="1" applyFill="1"/>
    <xf numFmtId="2" fontId="0" fillId="0" borderId="2" xfId="0" applyNumberFormat="1" applyBorder="1"/>
    <xf numFmtId="164" fontId="0" fillId="0" borderId="1" xfId="0" applyNumberFormat="1" applyBorder="1"/>
    <xf numFmtId="0" fontId="0" fillId="0" borderId="0" xfId="0" applyProtection="1">
      <protection locked="0"/>
    </xf>
    <xf numFmtId="0" fontId="1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10" fillId="3" borderId="0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2" fontId="0" fillId="3" borderId="0" xfId="0" applyNumberFormat="1" applyFill="1" applyBorder="1"/>
    <xf numFmtId="0" fontId="29" fillId="3" borderId="10" xfId="0" applyFont="1" applyFill="1" applyBorder="1"/>
    <xf numFmtId="0" fontId="29" fillId="3" borderId="5" xfId="0" applyFont="1" applyFill="1" applyBorder="1"/>
    <xf numFmtId="0" fontId="30" fillId="3" borderId="11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14" xfId="0" applyFill="1" applyBorder="1"/>
    <xf numFmtId="0" fontId="6" fillId="4" borderId="0" xfId="0" applyFont="1" applyFill="1"/>
    <xf numFmtId="0" fontId="0" fillId="4" borderId="0" xfId="0" applyFill="1"/>
    <xf numFmtId="0" fontId="0" fillId="4" borderId="0" xfId="0" applyFill="1" applyBorder="1"/>
    <xf numFmtId="0" fontId="10" fillId="4" borderId="0" xfId="0" applyFont="1" applyFill="1"/>
    <xf numFmtId="1" fontId="0" fillId="4" borderId="0" xfId="0" applyNumberFormat="1" applyFill="1" applyBorder="1"/>
    <xf numFmtId="0" fontId="6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0" xfId="0" applyFill="1" applyProtection="1">
      <protection locked="0" hidden="1"/>
    </xf>
    <xf numFmtId="0" fontId="0" fillId="4" borderId="0" xfId="0" applyFill="1" applyProtection="1">
      <protection locked="0"/>
    </xf>
    <xf numFmtId="0" fontId="5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4" fillId="3" borderId="10" xfId="0" applyFont="1" applyFill="1" applyBorder="1"/>
    <xf numFmtId="0" fontId="3" fillId="3" borderId="10" xfId="0" applyFont="1" applyFill="1" applyBorder="1" applyProtection="1">
      <protection locked="0"/>
    </xf>
    <xf numFmtId="0" fontId="4" fillId="3" borderId="5" xfId="0" applyFont="1" applyFill="1" applyBorder="1"/>
    <xf numFmtId="0" fontId="3" fillId="3" borderId="5" xfId="0" applyFont="1" applyFill="1" applyBorder="1" applyProtection="1">
      <protection locked="0"/>
    </xf>
    <xf numFmtId="0" fontId="4" fillId="3" borderId="7" xfId="0" applyFont="1" applyFill="1" applyBorder="1"/>
    <xf numFmtId="0" fontId="3" fillId="3" borderId="7" xfId="0" applyFont="1" applyFill="1" applyBorder="1" applyProtection="1">
      <protection locked="0"/>
    </xf>
    <xf numFmtId="0" fontId="21" fillId="3" borderId="14" xfId="0" applyFont="1" applyFill="1" applyBorder="1" applyProtection="1">
      <protection locked="0"/>
    </xf>
    <xf numFmtId="0" fontId="2" fillId="3" borderId="14" xfId="0" applyFont="1" applyFill="1" applyBorder="1"/>
    <xf numFmtId="0" fontId="2" fillId="4" borderId="0" xfId="0" applyFont="1" applyFill="1"/>
    <xf numFmtId="0" fontId="2" fillId="4" borderId="0" xfId="0" applyFont="1" applyFill="1" applyProtection="1">
      <protection hidden="1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15" xfId="0" applyFill="1" applyBorder="1"/>
    <xf numFmtId="0" fontId="18" fillId="4" borderId="0" xfId="0" applyFont="1" applyFill="1" applyBorder="1"/>
    <xf numFmtId="0" fontId="19" fillId="4" borderId="0" xfId="0" applyFont="1" applyFill="1" applyBorder="1"/>
    <xf numFmtId="0" fontId="10" fillId="4" borderId="0" xfId="0" applyFont="1" applyFill="1" applyBorder="1"/>
    <xf numFmtId="0" fontId="5" fillId="3" borderId="16" xfId="0" applyFont="1" applyFill="1" applyBorder="1" applyProtection="1">
      <protection locked="0"/>
    </xf>
    <xf numFmtId="0" fontId="0" fillId="3" borderId="16" xfId="0" applyFill="1" applyBorder="1"/>
    <xf numFmtId="0" fontId="5" fillId="3" borderId="17" xfId="0" applyFont="1" applyFill="1" applyBorder="1" applyProtection="1">
      <protection locked="0"/>
    </xf>
    <xf numFmtId="166" fontId="5" fillId="3" borderId="16" xfId="0" applyNumberFormat="1" applyFont="1" applyFill="1" applyBorder="1" applyProtection="1">
      <protection locked="0"/>
    </xf>
    <xf numFmtId="0" fontId="5" fillId="3" borderId="18" xfId="0" applyFont="1" applyFill="1" applyBorder="1" applyProtection="1">
      <protection locked="0"/>
    </xf>
    <xf numFmtId="0" fontId="0" fillId="3" borderId="19" xfId="0" applyFill="1" applyBorder="1"/>
    <xf numFmtId="165" fontId="0" fillId="3" borderId="14" xfId="0" applyNumberFormat="1" applyFill="1" applyBorder="1"/>
    <xf numFmtId="2" fontId="13" fillId="3" borderId="13" xfId="0" applyNumberFormat="1" applyFont="1" applyFill="1" applyBorder="1" applyProtection="1">
      <protection hidden="1"/>
    </xf>
    <xf numFmtId="2" fontId="13" fillId="3" borderId="14" xfId="0" applyNumberFormat="1" applyFont="1" applyFill="1" applyBorder="1" applyProtection="1">
      <protection hidden="1"/>
    </xf>
    <xf numFmtId="0" fontId="20" fillId="3" borderId="14" xfId="0" applyFont="1" applyFill="1" applyBorder="1" applyProtection="1">
      <protection locked="0"/>
    </xf>
    <xf numFmtId="0" fontId="13" fillId="3" borderId="14" xfId="0" applyFont="1" applyFill="1" applyBorder="1" applyProtection="1">
      <protection hidden="1"/>
    </xf>
    <xf numFmtId="0" fontId="0" fillId="3" borderId="20" xfId="0" applyFill="1" applyBorder="1"/>
    <xf numFmtId="0" fontId="0" fillId="3" borderId="21" xfId="0" applyFill="1" applyBorder="1"/>
    <xf numFmtId="164" fontId="13" fillId="3" borderId="14" xfId="0" applyNumberFormat="1" applyFont="1" applyFill="1" applyBorder="1" applyProtection="1">
      <protection hidden="1"/>
    </xf>
    <xf numFmtId="165" fontId="13" fillId="3" borderId="14" xfId="0" applyNumberFormat="1" applyFont="1" applyFill="1" applyBorder="1"/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0" fillId="3" borderId="6" xfId="0" applyFill="1" applyBorder="1" applyProtection="1"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2" fontId="0" fillId="3" borderId="0" xfId="0" applyNumberForma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9" fontId="14" fillId="3" borderId="6" xfId="0" applyNumberFormat="1" applyFont="1" applyFill="1" applyBorder="1" applyAlignment="1">
      <alignment horizontal="center"/>
    </xf>
    <xf numFmtId="164" fontId="0" fillId="3" borderId="0" xfId="0" applyNumberFormat="1" applyFill="1" applyAlignment="1" applyProtection="1">
      <alignment horizontal="center"/>
      <protection hidden="1"/>
    </xf>
    <xf numFmtId="164" fontId="0" fillId="3" borderId="0" xfId="0" applyNumberFormat="1" applyFill="1" applyBorder="1" applyAlignment="1" applyProtection="1">
      <alignment horizontal="center"/>
      <protection hidden="1"/>
    </xf>
    <xf numFmtId="2" fontId="0" fillId="3" borderId="7" xfId="0" applyNumberFormat="1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9" fontId="14" fillId="3" borderId="9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hidden="1"/>
    </xf>
    <xf numFmtId="0" fontId="7" fillId="3" borderId="3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0" fillId="3" borderId="7" xfId="0" applyFill="1" applyBorder="1" applyProtection="1"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165" fontId="0" fillId="3" borderId="4" xfId="0" applyNumberFormat="1" applyFill="1" applyBorder="1" applyAlignment="1" applyProtection="1">
      <alignment horizontal="center"/>
      <protection hidden="1"/>
    </xf>
    <xf numFmtId="165" fontId="0" fillId="3" borderId="6" xfId="0" applyNumberFormat="1" applyFill="1" applyBorder="1" applyAlignment="1" applyProtection="1">
      <alignment horizontal="center"/>
      <protection hidden="1"/>
    </xf>
    <xf numFmtId="2" fontId="0" fillId="3" borderId="6" xfId="0" applyNumberFormat="1" applyFill="1" applyBorder="1" applyAlignment="1" applyProtection="1">
      <alignment horizontal="center"/>
      <protection hidden="1"/>
    </xf>
    <xf numFmtId="1" fontId="0" fillId="3" borderId="6" xfId="0" applyNumberFormat="1" applyFill="1" applyBorder="1" applyAlignment="1" applyProtection="1">
      <alignment horizontal="center"/>
      <protection hidden="1"/>
    </xf>
    <xf numFmtId="2" fontId="0" fillId="3" borderId="9" xfId="0" applyNumberFormat="1" applyFill="1" applyBorder="1" applyAlignment="1" applyProtection="1">
      <alignment horizontal="center"/>
      <protection hidden="1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22" fillId="0" borderId="0" xfId="0" applyFont="1" applyFill="1" applyAlignment="1" applyProtection="1">
      <alignment horizontal="center"/>
      <protection locked="0"/>
    </xf>
    <xf numFmtId="2" fontId="22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7" fontId="25" fillId="0" borderId="14" xfId="1" applyNumberFormat="1" applyFont="1" applyFill="1" applyBorder="1" applyAlignment="1" applyProtection="1">
      <alignment horizontal="center"/>
      <protection locked="0"/>
    </xf>
    <xf numFmtId="165" fontId="23" fillId="0" borderId="0" xfId="0" applyNumberFormat="1" applyFont="1" applyFill="1" applyAlignment="1" applyProtection="1">
      <alignment horizontal="center"/>
      <protection locked="0"/>
    </xf>
    <xf numFmtId="2" fontId="23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 applyProtection="1">
      <alignment horizontal="center"/>
      <protection locked="0"/>
    </xf>
    <xf numFmtId="165" fontId="27" fillId="0" borderId="0" xfId="0" applyNumberFormat="1" applyFont="1" applyFill="1" applyAlignment="1" applyProtection="1">
      <alignment horizontal="center"/>
      <protection locked="0"/>
    </xf>
    <xf numFmtId="2" fontId="24" fillId="0" borderId="0" xfId="0" applyNumberFormat="1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/>
      <protection locked="0"/>
    </xf>
    <xf numFmtId="2" fontId="25" fillId="0" borderId="0" xfId="0" applyNumberFormat="1" applyFont="1" applyFill="1" applyAlignment="1" applyProtection="1">
      <alignment horizontal="center"/>
    </xf>
    <xf numFmtId="7" fontId="27" fillId="0" borderId="14" xfId="1" applyNumberFormat="1" applyFont="1" applyFill="1" applyBorder="1" applyAlignment="1" applyProtection="1">
      <alignment horizontal="center"/>
      <protection locked="0"/>
    </xf>
    <xf numFmtId="165" fontId="25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>
      <alignment horizontal="center"/>
    </xf>
    <xf numFmtId="7" fontId="24" fillId="0" borderId="14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0" fontId="1" fillId="4" borderId="0" xfId="0" applyFont="1" applyFill="1"/>
    <xf numFmtId="0" fontId="17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0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6" fillId="4" borderId="0" xfId="0" applyFont="1" applyFill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>
      <alignment horizontal="center"/>
    </xf>
    <xf numFmtId="2" fontId="1" fillId="3" borderId="11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0" fontId="1" fillId="3" borderId="20" xfId="0" applyFont="1" applyFill="1" applyBorder="1"/>
    <xf numFmtId="2" fontId="1" fillId="3" borderId="14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30" fillId="3" borderId="13" xfId="0" applyNumberFormat="1" applyFont="1" applyFill="1" applyBorder="1" applyAlignment="1">
      <alignment horizontal="center"/>
    </xf>
    <xf numFmtId="0" fontId="10" fillId="3" borderId="0" xfId="0" applyFont="1" applyFill="1" applyBorder="1" applyProtection="1">
      <protection hidden="1"/>
    </xf>
    <xf numFmtId="0" fontId="10" fillId="3" borderId="8" xfId="0" applyFont="1" applyFill="1" applyBorder="1" applyProtection="1">
      <protection hidden="1"/>
    </xf>
    <xf numFmtId="164" fontId="10" fillId="3" borderId="0" xfId="0" applyNumberFormat="1" applyFont="1" applyFill="1" applyBorder="1" applyAlignment="1" applyProtection="1">
      <alignment horizontal="center"/>
      <protection hidden="1"/>
    </xf>
    <xf numFmtId="164" fontId="10" fillId="3" borderId="8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" fillId="4" borderId="0" xfId="0" applyFont="1" applyFill="1" applyBorder="1"/>
    <xf numFmtId="2" fontId="1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/>
    <xf numFmtId="2" fontId="1" fillId="4" borderId="0" xfId="0" applyNumberFormat="1" applyFont="1" applyFill="1" applyBorder="1"/>
    <xf numFmtId="0" fontId="11" fillId="4" borderId="0" xfId="0" applyFont="1" applyFill="1" applyBorder="1"/>
    <xf numFmtId="0" fontId="16" fillId="4" borderId="0" xfId="0" applyFont="1" applyFill="1" applyBorder="1" applyAlignment="1" applyProtection="1">
      <alignment horizontal="center"/>
      <protection locked="0"/>
    </xf>
    <xf numFmtId="0" fontId="31" fillId="3" borderId="14" xfId="0" applyFont="1" applyFill="1" applyBorder="1" applyProtection="1">
      <protection locked="0"/>
    </xf>
    <xf numFmtId="14" fontId="31" fillId="3" borderId="14" xfId="0" applyNumberFormat="1" applyFont="1" applyFill="1" applyBorder="1" applyProtection="1">
      <protection locked="0"/>
    </xf>
    <xf numFmtId="14" fontId="32" fillId="4" borderId="0" xfId="0" applyNumberFormat="1" applyFont="1" applyFill="1"/>
    <xf numFmtId="0" fontId="31" fillId="3" borderId="14" xfId="0" applyNumberFormat="1" applyFont="1" applyFill="1" applyBorder="1" applyProtection="1">
      <protection locked="0"/>
    </xf>
    <xf numFmtId="2" fontId="31" fillId="3" borderId="14" xfId="0" applyNumberFormat="1" applyFont="1" applyFill="1" applyBorder="1" applyProtection="1">
      <protection locked="0"/>
    </xf>
    <xf numFmtId="0" fontId="30" fillId="4" borderId="0" xfId="0" applyFont="1" applyFill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1</xdr:row>
      <xdr:rowOff>76200</xdr:rowOff>
    </xdr:from>
    <xdr:to>
      <xdr:col>12</xdr:col>
      <xdr:colOff>323850</xdr:colOff>
      <xdr:row>5</xdr:row>
      <xdr:rowOff>155169</xdr:rowOff>
    </xdr:to>
    <xdr:pic>
      <xdr:nvPicPr>
        <xdr:cNvPr id="3" name="Picture 2" descr="UA-color-left-smal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9100" y="285750"/>
          <a:ext cx="3800475" cy="726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10"/>
    <pageSetUpPr fitToPage="1"/>
  </sheetPr>
  <dimension ref="A1:H32"/>
  <sheetViews>
    <sheetView tabSelected="1" workbookViewId="0">
      <selection activeCell="A50" sqref="A50"/>
    </sheetView>
  </sheetViews>
  <sheetFormatPr defaultRowHeight="12.75"/>
  <cols>
    <col min="1" max="1" width="10.140625" style="35" customWidth="1"/>
    <col min="2" max="2" width="10.28515625" style="35" customWidth="1"/>
    <col min="3" max="3" width="9.7109375" style="35" customWidth="1"/>
    <col min="4" max="4" width="10.7109375" style="35" bestFit="1" customWidth="1"/>
    <col min="5" max="5" width="10.140625" style="35" customWidth="1"/>
    <col min="6" max="6" width="9.7109375" style="35" customWidth="1"/>
    <col min="7" max="16384" width="9.140625" style="35"/>
  </cols>
  <sheetData>
    <row r="1" spans="1:8" ht="16.5" thickBot="1">
      <c r="A1" s="34" t="s">
        <v>6</v>
      </c>
    </row>
    <row r="2" spans="1:8">
      <c r="B2" s="45" t="s">
        <v>0</v>
      </c>
      <c r="C2" s="46" t="s">
        <v>575</v>
      </c>
      <c r="D2" s="15"/>
      <c r="E2" s="15"/>
      <c r="F2" s="16"/>
    </row>
    <row r="3" spans="1:8">
      <c r="B3" s="47" t="s">
        <v>1</v>
      </c>
      <c r="C3" s="48"/>
      <c r="D3" s="18"/>
      <c r="E3" s="18"/>
      <c r="F3" s="20"/>
    </row>
    <row r="4" spans="1:8">
      <c r="B4" s="47" t="s">
        <v>2</v>
      </c>
      <c r="C4" s="48"/>
      <c r="D4" s="18"/>
      <c r="E4" s="18"/>
      <c r="F4" s="20"/>
    </row>
    <row r="5" spans="1:8">
      <c r="B5" s="47" t="s">
        <v>3</v>
      </c>
      <c r="C5" s="48"/>
      <c r="D5" s="18"/>
      <c r="E5" s="18"/>
      <c r="F5" s="20"/>
    </row>
    <row r="6" spans="1:8">
      <c r="B6" s="47" t="s">
        <v>4</v>
      </c>
      <c r="C6" s="48"/>
      <c r="D6" s="18"/>
      <c r="E6" s="18"/>
      <c r="F6" s="20"/>
    </row>
    <row r="7" spans="1:8" ht="13.5" thickBot="1">
      <c r="B7" s="49" t="s">
        <v>5</v>
      </c>
      <c r="C7" s="50"/>
      <c r="D7" s="22"/>
      <c r="E7" s="22"/>
      <c r="F7" s="23"/>
    </row>
    <row r="8" spans="1:8" ht="13.5" thickBot="1"/>
    <row r="9" spans="1:8" ht="13.5" thickBot="1">
      <c r="A9" s="53" t="s">
        <v>460</v>
      </c>
      <c r="D9" s="51">
        <v>50</v>
      </c>
      <c r="H9" s="53" t="s">
        <v>568</v>
      </c>
    </row>
    <row r="10" spans="1:8" ht="19.5" customHeight="1" thickBot="1">
      <c r="A10" s="53" t="s">
        <v>569</v>
      </c>
      <c r="D10" s="159">
        <v>1</v>
      </c>
      <c r="G10" s="164">
        <v>1</v>
      </c>
      <c r="H10" s="53" t="s">
        <v>566</v>
      </c>
    </row>
    <row r="11" spans="1:8" ht="13.5" thickBot="1">
      <c r="A11" s="53" t="s">
        <v>7</v>
      </c>
      <c r="D11" s="160">
        <v>40011</v>
      </c>
      <c r="G11" s="164">
        <v>2</v>
      </c>
      <c r="H11" s="53" t="s">
        <v>567</v>
      </c>
    </row>
    <row r="12" spans="1:8" ht="13.5" thickBot="1">
      <c r="A12" s="53" t="s">
        <v>401</v>
      </c>
      <c r="D12" s="159">
        <v>7</v>
      </c>
    </row>
    <row r="13" spans="1:8" ht="13.5" thickBot="1">
      <c r="A13" s="53" t="s">
        <v>461</v>
      </c>
      <c r="D13" s="159">
        <v>525</v>
      </c>
    </row>
    <row r="14" spans="1:8" ht="13.5" thickBot="1">
      <c r="A14" s="53" t="s">
        <v>393</v>
      </c>
      <c r="D14" s="159">
        <v>5</v>
      </c>
    </row>
    <row r="15" spans="1:8" ht="13.5" thickBot="1">
      <c r="H15" s="53" t="s">
        <v>464</v>
      </c>
    </row>
    <row r="16" spans="1:8" ht="17.25" customHeight="1" thickBot="1">
      <c r="A16" s="53" t="s">
        <v>570</v>
      </c>
      <c r="D16" s="159">
        <v>6</v>
      </c>
      <c r="G16" s="164">
        <v>1</v>
      </c>
      <c r="H16" s="53" t="s">
        <v>465</v>
      </c>
    </row>
    <row r="17" spans="1:8" ht="13.5" thickBot="1">
      <c r="G17" s="164">
        <v>2</v>
      </c>
      <c r="H17" s="53" t="s">
        <v>466</v>
      </c>
    </row>
    <row r="18" spans="1:8" ht="13.5" thickBot="1">
      <c r="A18" s="53" t="s">
        <v>519</v>
      </c>
      <c r="D18" s="159">
        <v>1250</v>
      </c>
      <c r="G18" s="164">
        <v>3</v>
      </c>
      <c r="H18" s="53" t="s">
        <v>468</v>
      </c>
    </row>
    <row r="19" spans="1:8" ht="13.5" thickBot="1">
      <c r="D19" s="161"/>
      <c r="G19" s="164">
        <v>4</v>
      </c>
      <c r="H19" s="53" t="s">
        <v>469</v>
      </c>
    </row>
    <row r="20" spans="1:8" ht="13.5" thickBot="1">
      <c r="A20" s="53" t="s">
        <v>8</v>
      </c>
      <c r="D20" s="162">
        <v>60</v>
      </c>
      <c r="G20" s="164">
        <v>5</v>
      </c>
      <c r="H20" s="53" t="s">
        <v>470</v>
      </c>
    </row>
    <row r="21" spans="1:8" ht="13.5" thickBot="1">
      <c r="A21" s="53" t="s">
        <v>562</v>
      </c>
      <c r="D21" s="163">
        <v>3</v>
      </c>
      <c r="G21" s="164">
        <v>6</v>
      </c>
      <c r="H21" s="53" t="s">
        <v>467</v>
      </c>
    </row>
    <row r="22" spans="1:8" ht="13.5" thickBot="1">
      <c r="A22" s="53" t="s">
        <v>462</v>
      </c>
      <c r="B22" s="36"/>
      <c r="C22" s="36"/>
      <c r="D22" s="52">
        <f>D21*D20+D13</f>
        <v>705</v>
      </c>
      <c r="G22" s="164">
        <v>7</v>
      </c>
      <c r="H22" s="53" t="s">
        <v>472</v>
      </c>
    </row>
    <row r="23" spans="1:8">
      <c r="B23" s="36"/>
      <c r="C23" s="38"/>
      <c r="G23" s="164">
        <v>8</v>
      </c>
      <c r="H23" s="53" t="s">
        <v>473</v>
      </c>
    </row>
    <row r="24" spans="1:8" ht="16.5" thickBot="1">
      <c r="A24" s="39" t="s">
        <v>378</v>
      </c>
      <c r="B24" s="40"/>
      <c r="C24" s="40"/>
      <c r="D24" s="40"/>
      <c r="E24" s="40"/>
    </row>
    <row r="25" spans="1:8" ht="13.5" thickBot="1">
      <c r="A25" s="40"/>
      <c r="B25" s="54" t="s">
        <v>384</v>
      </c>
      <c r="C25" s="40"/>
      <c r="D25" s="51" t="s">
        <v>521</v>
      </c>
      <c r="E25" s="40"/>
    </row>
    <row r="26" spans="1:8" ht="17.25" customHeight="1" thickBot="1">
      <c r="A26" s="40"/>
      <c r="B26" s="54" t="s">
        <v>392</v>
      </c>
      <c r="C26" s="40"/>
      <c r="D26" s="51" t="s">
        <v>521</v>
      </c>
      <c r="E26" s="40"/>
    </row>
    <row r="27" spans="1:8">
      <c r="A27" s="40"/>
      <c r="B27" s="40"/>
      <c r="C27" s="40"/>
      <c r="D27" s="41"/>
      <c r="E27" s="40"/>
    </row>
    <row r="28" spans="1:8" ht="28.5" customHeight="1">
      <c r="B28" s="40"/>
    </row>
    <row r="29" spans="1:8">
      <c r="D29" s="42"/>
    </row>
    <row r="31" spans="1:8" ht="18" customHeight="1">
      <c r="D31" s="43"/>
    </row>
    <row r="32" spans="1:8" ht="19.5" customHeight="1">
      <c r="D32" s="44"/>
    </row>
  </sheetData>
  <sheetProtection password="CB15" sheet="1" objects="1" scenarios="1"/>
  <phoneticPr fontId="0" type="noConversion"/>
  <pageMargins left="0.75" right="0.75" top="1" bottom="1" header="0.5" footer="0.5"/>
  <pageSetup scale="85" orientation="portrait" blackAndWhite="1" horizontalDpi="300" verticalDpi="300" r:id="rId1"/>
  <headerFooter alignWithMargins="0">
    <oddFooter>&amp;LUniversity of Arkansas&amp;RCooperative Extension Service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3"/>
    <pageSetUpPr fitToPage="1"/>
  </sheetPr>
  <dimension ref="A1:K36"/>
  <sheetViews>
    <sheetView workbookViewId="0">
      <selection activeCell="C8" sqref="C8"/>
    </sheetView>
  </sheetViews>
  <sheetFormatPr defaultRowHeight="12.75"/>
  <cols>
    <col min="1" max="1" width="8" style="35" customWidth="1"/>
    <col min="2" max="2" width="26.42578125" style="35" customWidth="1"/>
    <col min="3" max="3" width="16.85546875" style="35" bestFit="1" customWidth="1"/>
    <col min="4" max="4" width="10" style="35" customWidth="1"/>
    <col min="5" max="5" width="5.28515625" style="35" customWidth="1"/>
    <col min="6" max="6" width="12.5703125" style="35" customWidth="1"/>
    <col min="7" max="7" width="12" style="35" customWidth="1"/>
    <col min="8" max="8" width="12.7109375" style="35" customWidth="1"/>
    <col min="9" max="9" width="8.5703125" style="35" bestFit="1" customWidth="1"/>
    <col min="10" max="10" width="5.7109375" style="35" customWidth="1"/>
    <col min="11" max="11" width="11.28515625" style="35" customWidth="1"/>
    <col min="12" max="16384" width="9.140625" style="35"/>
  </cols>
  <sheetData>
    <row r="1" spans="1:11" ht="13.5" thickBot="1"/>
    <row r="2" spans="1:11">
      <c r="B2" s="35" t="s">
        <v>364</v>
      </c>
      <c r="D2" s="55"/>
      <c r="E2" s="55"/>
      <c r="F2" s="90"/>
      <c r="G2" s="91" t="s">
        <v>369</v>
      </c>
      <c r="H2" s="92"/>
      <c r="I2" s="92"/>
      <c r="J2" s="92"/>
      <c r="K2" s="79"/>
    </row>
    <row r="3" spans="1:11">
      <c r="D3" s="36"/>
      <c r="E3" s="36"/>
      <c r="F3" s="93"/>
      <c r="G3" s="77" t="s">
        <v>370</v>
      </c>
      <c r="H3" s="77" t="s">
        <v>370</v>
      </c>
      <c r="I3" s="78" t="s">
        <v>371</v>
      </c>
      <c r="J3" s="78"/>
      <c r="K3" s="94" t="s">
        <v>523</v>
      </c>
    </row>
    <row r="4" spans="1:11" ht="13.5" thickBot="1">
      <c r="F4" s="95"/>
      <c r="G4" s="96" t="s">
        <v>552</v>
      </c>
      <c r="H4" s="88" t="s">
        <v>433</v>
      </c>
      <c r="I4" s="88" t="s">
        <v>373</v>
      </c>
      <c r="J4" s="88"/>
      <c r="K4" s="97" t="s">
        <v>522</v>
      </c>
    </row>
    <row r="5" spans="1:11">
      <c r="A5" s="56" t="s">
        <v>192</v>
      </c>
      <c r="B5" s="56" t="s">
        <v>362</v>
      </c>
      <c r="C5" s="56" t="s">
        <v>536</v>
      </c>
      <c r="D5" s="56" t="s">
        <v>453</v>
      </c>
      <c r="F5" s="93" t="s">
        <v>434</v>
      </c>
      <c r="G5" s="98">
        <f>'Feed Summary'!J20</f>
        <v>90.5</v>
      </c>
      <c r="H5" s="77"/>
      <c r="I5" s="78" t="s">
        <v>429</v>
      </c>
      <c r="J5" s="78"/>
      <c r="K5" s="79"/>
    </row>
    <row r="6" spans="1:11">
      <c r="A6" s="56" t="s">
        <v>361</v>
      </c>
      <c r="B6" s="56" t="s">
        <v>363</v>
      </c>
      <c r="C6" s="56" t="s">
        <v>511</v>
      </c>
      <c r="D6" s="56" t="s">
        <v>495</v>
      </c>
      <c r="F6" s="93" t="s">
        <v>435</v>
      </c>
      <c r="G6" s="99">
        <f>'Feed Summary'!K20</f>
        <v>39.125966850828732</v>
      </c>
      <c r="H6" s="77"/>
      <c r="I6" s="78" t="s">
        <v>429</v>
      </c>
      <c r="J6" s="78"/>
      <c r="K6" s="80"/>
    </row>
    <row r="7" spans="1:11">
      <c r="A7" s="62">
        <v>145</v>
      </c>
      <c r="B7" s="63" t="str">
        <f>IF(A7 = "","",VLOOKUP(A7,'Feeds List'!$A$6:$B$289,2))</f>
        <v>COTTONSEED HULLS</v>
      </c>
      <c r="C7" s="64">
        <v>15</v>
      </c>
      <c r="D7" s="65"/>
      <c r="F7" s="93" t="s">
        <v>480</v>
      </c>
      <c r="G7" s="99">
        <f>('Feed Summary'!L20)/100*G6</f>
        <v>6.705455755318825</v>
      </c>
      <c r="H7" s="77"/>
      <c r="I7" s="78" t="s">
        <v>430</v>
      </c>
      <c r="J7" s="78"/>
      <c r="K7" s="80"/>
    </row>
    <row r="8" spans="1:11">
      <c r="A8" s="62">
        <v>405</v>
      </c>
      <c r="B8" s="63" t="str">
        <f>IF(A8 = "","",VLOOKUP(A8,'Feeds List'!$A$6:$B$289,2))</f>
        <v>Corn Grain Cracked</v>
      </c>
      <c r="C8" s="64"/>
      <c r="D8" s="65"/>
      <c r="F8" s="93" t="s">
        <v>436</v>
      </c>
      <c r="G8" s="99">
        <f>('Feed Summary'!M20)</f>
        <v>81.967955801104978</v>
      </c>
      <c r="H8" s="77"/>
      <c r="I8" s="78"/>
      <c r="J8" s="78"/>
      <c r="K8" s="80"/>
    </row>
    <row r="9" spans="1:11">
      <c r="A9" s="62">
        <v>404</v>
      </c>
      <c r="B9" s="63" t="str">
        <f>IF(A9 = "","",VLOOKUP(A9,'Feeds List'!$A$6:$B$289,2))</f>
        <v>Corn Hominy</v>
      </c>
      <c r="C9" s="64">
        <v>53</v>
      </c>
      <c r="D9" s="65"/>
      <c r="F9" s="93" t="s">
        <v>437</v>
      </c>
      <c r="G9" s="100">
        <f>('Feed Summary'!N20)</f>
        <v>1.3470241274736314</v>
      </c>
      <c r="H9" s="77"/>
      <c r="I9" s="77"/>
      <c r="J9" s="77"/>
      <c r="K9" s="80"/>
    </row>
    <row r="10" spans="1:11">
      <c r="A10" s="62">
        <v>510</v>
      </c>
      <c r="B10" s="63" t="str">
        <f>IF(A10 = "","",VLOOKUP(A10,'Feeds List'!$A$6:$B$289,2))</f>
        <v>Distillers Gr. Dehy - Inter.</v>
      </c>
      <c r="C10" s="64">
        <v>30</v>
      </c>
      <c r="D10" s="65"/>
      <c r="F10" s="93" t="s">
        <v>482</v>
      </c>
      <c r="G10" s="100">
        <f>('Feed Summary'!O20)</f>
        <v>0.90776296476461771</v>
      </c>
      <c r="H10" s="81">
        <f>IF('Calf Info'!D26="n",IF(I10/G10&gt;C26,C26*G10,I10),IF(I10/(G10*1.1)&gt;C26,C26*(G10*1.1),I10))</f>
        <v>5.3351884794155389</v>
      </c>
      <c r="I10" s="82">
        <f>'calf req'!E41</f>
        <v>5.3351884794155389</v>
      </c>
      <c r="J10" s="83" t="s">
        <v>367</v>
      </c>
      <c r="K10" s="84">
        <f>H10/I10</f>
        <v>1</v>
      </c>
    </row>
    <row r="11" spans="1:11">
      <c r="A11" s="62">
        <v>812</v>
      </c>
      <c r="B11" s="63" t="str">
        <f>IF(A11 = "","",VLOOKUP(A11,'Feeds List'!$A$6:$B$289,2))</f>
        <v xml:space="preserve">Limestone  </v>
      </c>
      <c r="C11" s="64">
        <v>2</v>
      </c>
      <c r="D11" s="65"/>
      <c r="F11" s="93" t="s">
        <v>483</v>
      </c>
      <c r="G11" s="100">
        <f>('Feed Summary'!P20)</f>
        <v>0.61092322773699925</v>
      </c>
      <c r="H11" s="81">
        <f>IF('Calf Info'!D26="n",(C26-(H10/G10))*G11,(C26-(H10/(G10*1.1)))*G11)</f>
        <v>5.5547718702886151</v>
      </c>
      <c r="I11" s="82">
        <f>'calf req'!E50</f>
        <v>4.9203684382477819</v>
      </c>
      <c r="J11" s="83" t="s">
        <v>367</v>
      </c>
      <c r="K11" s="84">
        <f>H11/I11</f>
        <v>1.1289341316616432</v>
      </c>
    </row>
    <row r="12" spans="1:11">
      <c r="A12" s="62"/>
      <c r="B12" s="63" t="str">
        <f>IF(A12 = "","",VLOOKUP(A12,'Feeds List'!$A$6:$B$289,2))</f>
        <v/>
      </c>
      <c r="C12" s="64"/>
      <c r="D12" s="65"/>
      <c r="F12" s="93" t="s">
        <v>438</v>
      </c>
      <c r="G12" s="99">
        <f>('Feed Summary'!Q20)</f>
        <v>15.858232044198896</v>
      </c>
      <c r="H12" s="81">
        <f>C26*G12/100</f>
        <v>2.2892016576661183</v>
      </c>
      <c r="I12" s="82">
        <f>('calf req'!J20+'calf req'!E52)/1000*2.2</f>
        <v>2.0650146987899944</v>
      </c>
      <c r="J12" s="83" t="s">
        <v>9</v>
      </c>
      <c r="K12" s="84">
        <f>H12/I12</f>
        <v>1.1085643404899186</v>
      </c>
    </row>
    <row r="13" spans="1:11">
      <c r="A13" s="62"/>
      <c r="B13" s="63" t="str">
        <f>IF(A13 = "","",VLOOKUP(A13,'Feeds List'!$A$6:$B$289,2))</f>
        <v/>
      </c>
      <c r="C13" s="64"/>
      <c r="D13" s="65"/>
      <c r="F13" s="93" t="s">
        <v>439</v>
      </c>
      <c r="G13" s="99">
        <f>('Feed Summary'!R20)</f>
        <v>40.438969795670111</v>
      </c>
      <c r="H13" s="85">
        <f>C26*G12*G13/10000</f>
        <v>0.92572956690558117</v>
      </c>
      <c r="I13" s="86">
        <f>'calf req'!M23/454.545</f>
        <v>1.0269676013653981</v>
      </c>
      <c r="J13" s="83" t="s">
        <v>9</v>
      </c>
      <c r="K13" s="84">
        <f>H13/I13</f>
        <v>0.90142042034703274</v>
      </c>
    </row>
    <row r="14" spans="1:11">
      <c r="A14" s="62"/>
      <c r="B14" s="63" t="str">
        <f>IF(A14 = "","",VLOOKUP(A14,'Feeds List'!$A$6:$B$289,2))</f>
        <v/>
      </c>
      <c r="C14" s="64"/>
      <c r="D14" s="65"/>
      <c r="F14" s="93" t="s">
        <v>440</v>
      </c>
      <c r="G14" s="99">
        <f>('Feed Summary'!S20)</f>
        <v>7.3289502762430949</v>
      </c>
      <c r="H14" s="77"/>
      <c r="I14" s="78"/>
      <c r="J14" s="83"/>
      <c r="K14" s="84"/>
    </row>
    <row r="15" spans="1:11">
      <c r="A15" s="62"/>
      <c r="B15" s="63" t="str">
        <f>IF(A15 = "","",VLOOKUP(A15,'Feeds List'!$A$6:$B$289,2))</f>
        <v/>
      </c>
      <c r="C15" s="64"/>
      <c r="D15" s="65"/>
      <c r="F15" s="93" t="s">
        <v>441</v>
      </c>
      <c r="G15" s="100">
        <f>('Feed Summary'!T20)</f>
        <v>0.87854143646408844</v>
      </c>
      <c r="H15" s="85">
        <f t="shared" ref="H15:H20" si="0">$C$26*G15/100</f>
        <v>0.12682110509397335</v>
      </c>
      <c r="I15" s="86">
        <f>'calf req'!K44/1000*2.2</f>
        <v>8.2594180856806934E-2</v>
      </c>
      <c r="J15" s="83" t="s">
        <v>463</v>
      </c>
      <c r="K15" s="84">
        <f t="shared" ref="K15:K27" si="1">H15/I15</f>
        <v>1.5354726419993483</v>
      </c>
    </row>
    <row r="16" spans="1:11">
      <c r="A16" s="62"/>
      <c r="B16" s="63" t="str">
        <f>IF(A16 = "","",VLOOKUP(A16,'Feeds List'!$A$6:$B$289,2))</f>
        <v/>
      </c>
      <c r="C16" s="64"/>
      <c r="D16" s="65"/>
      <c r="F16" s="93" t="s">
        <v>442</v>
      </c>
      <c r="G16" s="100">
        <f>('Feed Summary'!U20)</f>
        <v>0.56467403314917131</v>
      </c>
      <c r="H16" s="85">
        <f t="shared" si="0"/>
        <v>8.1513041877764744E-2</v>
      </c>
      <c r="I16" s="86">
        <f>'calf req'!K46/1000*2.2</f>
        <v>4.3908787681817642E-2</v>
      </c>
      <c r="J16" s="83" t="s">
        <v>463</v>
      </c>
      <c r="K16" s="84">
        <f t="shared" si="1"/>
        <v>1.8564175004886048</v>
      </c>
    </row>
    <row r="17" spans="1:11">
      <c r="A17" s="62"/>
      <c r="B17" s="63" t="str">
        <f>IF(A17 = "","",VLOOKUP(A17,'Feeds List'!$A$6:$B$289,2))</f>
        <v/>
      </c>
      <c r="C17" s="64"/>
      <c r="D17" s="65"/>
      <c r="F17" s="93" t="s">
        <v>443</v>
      </c>
      <c r="G17" s="100">
        <f>('Feed Summary'!V20)</f>
        <v>0.28211049723756909</v>
      </c>
      <c r="H17" s="85">
        <f t="shared" si="0"/>
        <v>4.0723821931808547E-2</v>
      </c>
      <c r="I17" s="148">
        <f>IF($C$26&lt;$C$25,0.1*$C$25/100,0.1*$C$26/100)</f>
        <v>1.4435415317961197E-2</v>
      </c>
      <c r="J17" s="146" t="s">
        <v>463</v>
      </c>
      <c r="K17" s="84">
        <f t="shared" si="1"/>
        <v>2.8211049723756907</v>
      </c>
    </row>
    <row r="18" spans="1:11">
      <c r="A18" s="62"/>
      <c r="B18" s="63" t="str">
        <f>IF(A18 = "","",VLOOKUP(A18,'Feeds List'!$A$6:$B$289,2))</f>
        <v/>
      </c>
      <c r="C18" s="64"/>
      <c r="D18" s="65"/>
      <c r="F18" s="93" t="s">
        <v>444</v>
      </c>
      <c r="G18" s="100">
        <f>('Feed Summary'!W20)</f>
        <v>0.67103867403314932</v>
      </c>
      <c r="H18" s="85">
        <f t="shared" si="0"/>
        <v>9.6867219540824931E-2</v>
      </c>
      <c r="I18" s="148">
        <f>IF($C$26&lt;$C$25,0.6*$C$25/100,0.6*$C$26/100)</f>
        <v>8.6612491907767167E-2</v>
      </c>
      <c r="J18" s="146" t="s">
        <v>463</v>
      </c>
      <c r="K18" s="84">
        <f t="shared" si="1"/>
        <v>1.1183977900552489</v>
      </c>
    </row>
    <row r="19" spans="1:11">
      <c r="A19" s="62"/>
      <c r="B19" s="63" t="str">
        <f>IF(A19 = "","",VLOOKUP(A19,'Feeds List'!$A$6:$B$289,2))</f>
        <v/>
      </c>
      <c r="C19" s="64"/>
      <c r="D19" s="65"/>
      <c r="F19" s="93" t="s">
        <v>445</v>
      </c>
      <c r="G19" s="100">
        <f>('Feed Summary'!X20)</f>
        <v>0.1392596685082873</v>
      </c>
      <c r="H19" s="85">
        <f t="shared" si="0"/>
        <v>2.0102711519587292E-2</v>
      </c>
      <c r="I19" s="148">
        <f>IF($C$26&lt;$C$25,0.08*$C$25/100,0.08*$C$26/100)</f>
        <v>1.1548332254368956E-2</v>
      </c>
      <c r="J19" s="146" t="s">
        <v>463</v>
      </c>
      <c r="K19" s="84">
        <f t="shared" si="1"/>
        <v>1.7407458563535916</v>
      </c>
    </row>
    <row r="20" spans="1:11">
      <c r="A20" s="62"/>
      <c r="B20" s="63" t="str">
        <f>IF(A20 = "","",VLOOKUP(A20,'Feeds List'!$A$6:$B$289,2))</f>
        <v/>
      </c>
      <c r="C20" s="64"/>
      <c r="D20" s="65"/>
      <c r="F20" s="93" t="s">
        <v>446</v>
      </c>
      <c r="G20" s="100">
        <f>('Feed Summary'!Y20)</f>
        <v>0.14942541436464088</v>
      </c>
      <c r="H20" s="85">
        <f t="shared" si="0"/>
        <v>2.1570179154120357E-2</v>
      </c>
      <c r="I20" s="148">
        <f>IF($C$26&lt;$C$25,0.15*$C$25/100,0.15*$C$26/100)</f>
        <v>2.1653122976941792E-2</v>
      </c>
      <c r="J20" s="146" t="s">
        <v>463</v>
      </c>
      <c r="K20" s="84">
        <f t="shared" si="1"/>
        <v>0.99616942909760586</v>
      </c>
    </row>
    <row r="21" spans="1:11" ht="13.5" thickBot="1">
      <c r="A21" s="62"/>
      <c r="B21" s="63" t="str">
        <f>IF(A21 = "","",VLOOKUP(A21,'Feeds List'!$A$6:$B$289,2))</f>
        <v/>
      </c>
      <c r="C21" s="66"/>
      <c r="D21" s="65"/>
      <c r="F21" s="93" t="s">
        <v>447</v>
      </c>
      <c r="G21" s="100">
        <f>('Feed Summary'!Z20)</f>
        <v>8.6449723756906072E-2</v>
      </c>
      <c r="H21" s="81">
        <f t="shared" ref="H21:H27" si="2">G21*0.45454*$C$26</f>
        <v>0.56723758695543502</v>
      </c>
      <c r="I21" s="148">
        <f>IF($C$26&lt;$C$25,0.1*0.45454*$C$25,0.1*0.45454*$C$26)</f>
        <v>0.65614736786260819</v>
      </c>
      <c r="J21" s="146" t="s">
        <v>563</v>
      </c>
      <c r="K21" s="84">
        <f t="shared" si="1"/>
        <v>0.86449723756906061</v>
      </c>
    </row>
    <row r="22" spans="1:11" ht="14.25" thickTop="1" thickBot="1">
      <c r="B22" s="57" t="s">
        <v>542</v>
      </c>
      <c r="C22" s="67">
        <f>SUM(C7:C21)</f>
        <v>100</v>
      </c>
      <c r="F22" s="93" t="s">
        <v>448</v>
      </c>
      <c r="G22" s="100">
        <f>('Feed Summary'!AA20)</f>
        <v>11.156353591160221</v>
      </c>
      <c r="H22" s="81">
        <f t="shared" si="2"/>
        <v>73.202120437843348</v>
      </c>
      <c r="I22" s="148">
        <f>IF($C$26&lt;$C$25,10*0.45454*$C$25,10*0.45454*$C$26)</f>
        <v>65.614736786260821</v>
      </c>
      <c r="J22" s="146" t="s">
        <v>563</v>
      </c>
      <c r="K22" s="84">
        <f t="shared" si="1"/>
        <v>1.115635359116022</v>
      </c>
    </row>
    <row r="23" spans="1:11" ht="13.5" thickBot="1">
      <c r="B23" s="57" t="s">
        <v>541</v>
      </c>
      <c r="C23" s="68">
        <f>C22*G5/100</f>
        <v>90.5</v>
      </c>
      <c r="F23" s="93" t="s">
        <v>449</v>
      </c>
      <c r="G23" s="100">
        <f>('Feed Summary'!AB20)</f>
        <v>2.5640883977900555E-2</v>
      </c>
      <c r="H23" s="81">
        <f t="shared" si="2"/>
        <v>0.16824198531769971</v>
      </c>
      <c r="I23" s="148">
        <f>IF($C$26&lt;$C$25,0.5*0.45454*$C$25,0.5*0.45454*$C$26)</f>
        <v>3.2807368393130409</v>
      </c>
      <c r="J23" s="146" t="s">
        <v>563</v>
      </c>
      <c r="K23" s="84">
        <f t="shared" si="1"/>
        <v>5.1281767955801111E-2</v>
      </c>
    </row>
    <row r="24" spans="1:11" ht="13.5" thickBot="1">
      <c r="C24" s="58"/>
      <c r="F24" s="93" t="s">
        <v>450</v>
      </c>
      <c r="G24" s="101">
        <f>('Feed Summary'!AC20)</f>
        <v>227.50718232044198</v>
      </c>
      <c r="H24" s="81">
        <f t="shared" si="2"/>
        <v>1492.7823884939653</v>
      </c>
      <c r="I24" s="148">
        <f>IF($C$26&lt;$C$25,50*0.45454*$C$25,50*0.45454*$C$26)</f>
        <v>328.07368393130412</v>
      </c>
      <c r="J24" s="146" t="s">
        <v>563</v>
      </c>
      <c r="K24" s="84">
        <f t="shared" si="1"/>
        <v>4.5501436464088396</v>
      </c>
    </row>
    <row r="25" spans="1:11" ht="13.5" thickBot="1">
      <c r="A25" s="59" t="s">
        <v>537</v>
      </c>
      <c r="B25" s="36"/>
      <c r="C25" s="69">
        <f>IF('Calf Info'!D12&lt;11,'calf req'!D4,'calf req'!D5)</f>
        <v>14.435415317961198</v>
      </c>
      <c r="D25" s="70">
        <f>C25/C31*100</f>
        <v>2.3472220029205197</v>
      </c>
      <c r="F25" s="93" t="s">
        <v>481</v>
      </c>
      <c r="G25" s="100">
        <f>('Feed Summary'!AD20)</f>
        <v>16.811602209944752</v>
      </c>
      <c r="H25" s="81">
        <f t="shared" si="2"/>
        <v>110.30888539608456</v>
      </c>
      <c r="I25" s="148">
        <f>IF($C$26&lt;$C$25,20*0.45454*$C$25,20*0.45454*$C$26)</f>
        <v>131.22947357252164</v>
      </c>
      <c r="J25" s="146" t="s">
        <v>563</v>
      </c>
      <c r="K25" s="84">
        <f t="shared" si="1"/>
        <v>0.84058011049723758</v>
      </c>
    </row>
    <row r="26" spans="1:11" ht="13.5" thickBot="1">
      <c r="A26" s="60" t="s">
        <v>540</v>
      </c>
      <c r="B26" s="36"/>
      <c r="C26" s="69">
        <f>C25*C27/100</f>
        <v>14.435415317961196</v>
      </c>
      <c r="D26" s="69">
        <f>C26/C31*100</f>
        <v>2.3472220029205197</v>
      </c>
      <c r="F26" s="93" t="s">
        <v>451</v>
      </c>
      <c r="G26" s="100">
        <f>('Feed Summary'!AE20)</f>
        <v>0.12066298342541437</v>
      </c>
      <c r="H26" s="81">
        <f t="shared" si="2"/>
        <v>0.7917269897303516</v>
      </c>
      <c r="I26" s="148">
        <f>IF($C$26&lt;$C$25,0.1*0.45454*$C$25,0.1*0.45454*$C$26)</f>
        <v>0.65614736786260819</v>
      </c>
      <c r="J26" s="146" t="s">
        <v>563</v>
      </c>
      <c r="K26" s="84">
        <f t="shared" si="1"/>
        <v>1.2066298342541437</v>
      </c>
    </row>
    <row r="27" spans="1:11" ht="13.5" thickBot="1">
      <c r="B27" s="57" t="s">
        <v>538</v>
      </c>
      <c r="C27" s="71">
        <v>100</v>
      </c>
      <c r="D27" s="35" t="s">
        <v>539</v>
      </c>
      <c r="F27" s="95" t="s">
        <v>452</v>
      </c>
      <c r="G27" s="102">
        <f>('Feed Summary'!AF20)</f>
        <v>20.452375690607735</v>
      </c>
      <c r="H27" s="87">
        <f t="shared" si="2"/>
        <v>134.19772475929457</v>
      </c>
      <c r="I27" s="149">
        <f>IF($C$26&lt;$C$25,30*0.45454*$C$25,30*0.45454*$C$26)</f>
        <v>196.84421035878248</v>
      </c>
      <c r="J27" s="147" t="s">
        <v>563</v>
      </c>
      <c r="K27" s="89">
        <f t="shared" si="1"/>
        <v>0.68174585635359097</v>
      </c>
    </row>
    <row r="28" spans="1:11">
      <c r="E28" s="42"/>
      <c r="F28" s="53" t="s">
        <v>564</v>
      </c>
    </row>
    <row r="29" spans="1:11">
      <c r="F29" s="53" t="s">
        <v>565</v>
      </c>
    </row>
    <row r="30" spans="1:11" ht="13.5" thickBot="1">
      <c r="B30" s="53" t="s">
        <v>505</v>
      </c>
      <c r="E30" s="53" t="s">
        <v>549</v>
      </c>
    </row>
    <row r="31" spans="1:11" ht="13.5" thickBot="1">
      <c r="A31" s="33" t="s">
        <v>431</v>
      </c>
      <c r="B31" s="33"/>
      <c r="C31" s="72">
        <f>('Calf Info'!D13+'Calf Info'!D22)/2</f>
        <v>615</v>
      </c>
      <c r="E31" s="25" t="str">
        <f>IF(G7&lt;10,"MAKE SURE ENOUGH FIBER IS IN THE DIET FOR RUMEN HEALTH","")</f>
        <v>MAKE SURE ENOUGH FIBER IS IN THE DIET FOR RUMEN HEALTH</v>
      </c>
      <c r="F31" s="15"/>
      <c r="G31" s="15"/>
      <c r="H31" s="15"/>
      <c r="I31" s="15"/>
      <c r="J31" s="15"/>
      <c r="K31" s="16"/>
    </row>
    <row r="32" spans="1:11" ht="13.5" thickBot="1">
      <c r="A32" s="33" t="s">
        <v>432</v>
      </c>
      <c r="B32" s="33"/>
      <c r="C32" s="70">
        <f>'Calf Info'!D21</f>
        <v>3</v>
      </c>
      <c r="E32" s="26" t="str">
        <f>IF(G16 &gt; G15,"WARNING Ca:P IMBALANCE","")</f>
        <v/>
      </c>
      <c r="F32" s="18"/>
      <c r="G32" s="18"/>
      <c r="H32" s="19" t="s">
        <v>550</v>
      </c>
      <c r="I32" s="24">
        <f>G15/G16</f>
        <v>1.5558382091070975</v>
      </c>
      <c r="J32" s="19" t="s">
        <v>551</v>
      </c>
      <c r="K32" s="20"/>
    </row>
    <row r="33" spans="1:11" ht="13.5" thickBot="1">
      <c r="A33" s="33" t="s">
        <v>510</v>
      </c>
      <c r="B33" s="33"/>
      <c r="C33" s="70">
        <f>IF('calf req'!E56&lt;0,"Wt Loss Occuring",'calf req'!E58)</f>
        <v>3.4935434590221943</v>
      </c>
      <c r="E33" s="26" t="str">
        <f>IF(G20 &gt; 0.375,"HIGH SULFUR WARNING, LOWER HIGH S INGREDIENT","")</f>
        <v/>
      </c>
      <c r="F33" s="18"/>
      <c r="G33" s="18"/>
      <c r="H33" s="18"/>
      <c r="I33" s="18"/>
      <c r="J33" s="18"/>
      <c r="K33" s="20"/>
    </row>
    <row r="34" spans="1:11" ht="13.5" thickBot="1">
      <c r="A34" s="73" t="s">
        <v>479</v>
      </c>
      <c r="B34" s="74"/>
      <c r="C34" s="75">
        <f>'Feed Summary'!F20/C33</f>
        <v>0</v>
      </c>
      <c r="E34" s="26" t="str">
        <f>IF(G14 &gt; 6,"HIGH FAT WARNING, LOWER HIGH FAT INGREDIENT","")</f>
        <v>HIGH FAT WARNING, LOWER HIGH FAT INGREDIENT</v>
      </c>
      <c r="F34" s="18"/>
      <c r="G34" s="18"/>
      <c r="H34" s="18"/>
      <c r="I34" s="18"/>
      <c r="J34" s="18"/>
      <c r="K34" s="20"/>
    </row>
    <row r="35" spans="1:11" ht="13.5" thickBot="1">
      <c r="A35" s="33" t="s">
        <v>524</v>
      </c>
      <c r="B35" s="33"/>
      <c r="C35" s="76">
        <f>C26/C33</f>
        <v>4.1320268338672719</v>
      </c>
      <c r="E35" s="17"/>
      <c r="F35" s="18"/>
      <c r="G35" s="18"/>
      <c r="H35" s="18"/>
      <c r="I35" s="18"/>
      <c r="J35" s="18"/>
      <c r="K35" s="20"/>
    </row>
    <row r="36" spans="1:11" ht="13.5" thickBot="1">
      <c r="E36" s="21"/>
      <c r="F36" s="22"/>
      <c r="G36" s="22"/>
      <c r="H36" s="22"/>
      <c r="I36" s="22"/>
      <c r="J36" s="22"/>
      <c r="K36" s="23"/>
    </row>
  </sheetData>
  <sheetProtection password="CB15" sheet="1"/>
  <phoneticPr fontId="0" type="noConversion"/>
  <pageMargins left="0.75" right="0.75" top="1" bottom="1" header="0.5" footer="0.5"/>
  <pageSetup scale="89" orientation="landscape" blackAndWhite="1" horizontalDpi="300" verticalDpi="300" r:id="rId1"/>
  <headerFooter alignWithMargins="0">
    <oddFooter>&amp;LUniversity of Arkansas&amp;RCooperative Extension Service</oddFooter>
  </headerFooter>
  <legacyDrawing r:id="rId2"/>
  <controls>
    <control shapeId="1026" r:id="rId3" name="ComboBox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50"/>
  </sheetPr>
  <dimension ref="A1:AH297"/>
  <sheetViews>
    <sheetView workbookViewId="0">
      <pane xSplit="2" ySplit="5" topLeftCell="C192" activePane="bottomRight" state="frozen"/>
      <selection pane="topRight" activeCell="C1" sqref="C1"/>
      <selection pane="bottomLeft" activeCell="A6" sqref="A6"/>
      <selection pane="bottomRight" activeCell="Y282" sqref="Y282"/>
    </sheetView>
  </sheetViews>
  <sheetFormatPr defaultColWidth="10.28515625" defaultRowHeight="11.25"/>
  <cols>
    <col min="1" max="1" width="8.140625" style="103" customWidth="1"/>
    <col min="2" max="2" width="35.140625" style="103" customWidth="1"/>
    <col min="3" max="3" width="13.5703125" style="103" customWidth="1"/>
    <col min="4" max="10" width="10.28515625" style="103"/>
    <col min="11" max="13" width="10.28515625" style="104"/>
    <col min="14" max="16384" width="10.28515625" style="103"/>
  </cols>
  <sheetData>
    <row r="1" spans="1:34" ht="12.75">
      <c r="C1" s="105"/>
      <c r="D1" s="105"/>
      <c r="E1" s="105"/>
      <c r="F1" s="105"/>
      <c r="G1" s="105"/>
      <c r="H1" s="105"/>
      <c r="I1" s="105"/>
      <c r="J1" s="105"/>
      <c r="K1" s="106"/>
      <c r="L1" s="106"/>
      <c r="M1" s="106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G1" s="105"/>
    </row>
    <row r="4" spans="1:34">
      <c r="D4" s="103" t="s">
        <v>453</v>
      </c>
      <c r="E4" s="103" t="s">
        <v>310</v>
      </c>
      <c r="F4" s="103" t="s">
        <v>312</v>
      </c>
      <c r="G4" s="103" t="s">
        <v>313</v>
      </c>
      <c r="H4" s="103" t="s">
        <v>343</v>
      </c>
      <c r="I4" s="103" t="s">
        <v>315</v>
      </c>
      <c r="J4" s="103" t="s">
        <v>317</v>
      </c>
      <c r="K4" s="104" t="s">
        <v>318</v>
      </c>
      <c r="L4" s="104" t="s">
        <v>484</v>
      </c>
      <c r="M4" s="104" t="s">
        <v>485</v>
      </c>
      <c r="N4" s="104" t="s">
        <v>320</v>
      </c>
      <c r="O4" s="104" t="s">
        <v>322</v>
      </c>
      <c r="P4" s="103" t="s">
        <v>324</v>
      </c>
      <c r="Q4" s="103" t="s">
        <v>325</v>
      </c>
      <c r="R4" s="104" t="s">
        <v>326</v>
      </c>
      <c r="S4" s="104" t="s">
        <v>327</v>
      </c>
      <c r="T4" s="104" t="s">
        <v>328</v>
      </c>
      <c r="U4" s="104" t="s">
        <v>329</v>
      </c>
      <c r="V4" s="104" t="s">
        <v>330</v>
      </c>
      <c r="W4" s="104" t="s">
        <v>331</v>
      </c>
      <c r="X4" s="104" t="s">
        <v>332</v>
      </c>
      <c r="Y4" s="104" t="s">
        <v>333</v>
      </c>
      <c r="Z4" s="104" t="s">
        <v>334</v>
      </c>
      <c r="AA4" s="104" t="s">
        <v>486</v>
      </c>
      <c r="AB4" s="104" t="s">
        <v>335</v>
      </c>
      <c r="AC4" s="104" t="s">
        <v>336</v>
      </c>
      <c r="AD4" s="104" t="s">
        <v>337</v>
      </c>
      <c r="AE4" s="104" t="s">
        <v>338</v>
      </c>
      <c r="AF4" s="104" t="s">
        <v>339</v>
      </c>
    </row>
    <row r="5" spans="1:34" ht="12" thickBot="1">
      <c r="A5" s="103" t="s">
        <v>307</v>
      </c>
      <c r="B5" s="103" t="s">
        <v>308</v>
      </c>
      <c r="C5" s="103" t="s">
        <v>309</v>
      </c>
      <c r="D5" s="103" t="s">
        <v>360</v>
      </c>
      <c r="E5" s="103" t="s">
        <v>311</v>
      </c>
      <c r="F5" s="103" t="s">
        <v>311</v>
      </c>
      <c r="G5" s="103" t="s">
        <v>314</v>
      </c>
      <c r="H5" s="103" t="s">
        <v>311</v>
      </c>
      <c r="I5" s="103" t="s">
        <v>316</v>
      </c>
      <c r="J5" s="103" t="s">
        <v>311</v>
      </c>
      <c r="K5" s="104" t="s">
        <v>372</v>
      </c>
      <c r="L5" s="104" t="s">
        <v>372</v>
      </c>
      <c r="M5" s="104" t="s">
        <v>372</v>
      </c>
      <c r="N5" s="104" t="s">
        <v>321</v>
      </c>
      <c r="O5" s="104" t="s">
        <v>323</v>
      </c>
      <c r="P5" s="103" t="s">
        <v>321</v>
      </c>
      <c r="Q5" s="104" t="s">
        <v>321</v>
      </c>
      <c r="R5" s="104" t="s">
        <v>321</v>
      </c>
      <c r="S5" s="104" t="s">
        <v>321</v>
      </c>
      <c r="T5" s="104" t="s">
        <v>321</v>
      </c>
      <c r="U5" s="104" t="s">
        <v>321</v>
      </c>
      <c r="V5" s="104" t="s">
        <v>321</v>
      </c>
      <c r="W5" s="104" t="s">
        <v>340</v>
      </c>
      <c r="X5" s="104" t="s">
        <v>340</v>
      </c>
      <c r="Y5" s="104" t="s">
        <v>340</v>
      </c>
      <c r="Z5" s="104" t="s">
        <v>340</v>
      </c>
      <c r="AA5" s="104" t="s">
        <v>340</v>
      </c>
      <c r="AB5" s="104" t="s">
        <v>340</v>
      </c>
      <c r="AC5" s="104" t="s">
        <v>340</v>
      </c>
      <c r="AD5" s="104" t="s">
        <v>341</v>
      </c>
      <c r="AE5" s="104" t="s">
        <v>341</v>
      </c>
      <c r="AF5" s="104" t="s">
        <v>342</v>
      </c>
    </row>
    <row r="6" spans="1:34" ht="12" customHeight="1" thickBot="1">
      <c r="A6" s="107">
        <v>101</v>
      </c>
      <c r="B6" s="108" t="s">
        <v>11</v>
      </c>
      <c r="C6" s="107" t="s">
        <v>10</v>
      </c>
      <c r="D6" s="109">
        <v>0</v>
      </c>
      <c r="E6" s="107">
        <v>0</v>
      </c>
      <c r="F6" s="107">
        <v>100</v>
      </c>
      <c r="G6" s="107">
        <v>30</v>
      </c>
      <c r="H6" s="107">
        <v>68</v>
      </c>
      <c r="I6" s="107">
        <v>41</v>
      </c>
      <c r="J6" s="110">
        <v>54</v>
      </c>
      <c r="K6" s="111">
        <f>(J6*0.01*4.409*0.82)/2.2</f>
        <v>0.88741145454545456</v>
      </c>
      <c r="L6" s="111">
        <f t="shared" ref="L6:L22" si="0">IF(J6 = 0,0,(1.37*(J6*0.01*4.409*0.82)-0.138*(J6*0.01*4.409*0.82)^2+0.0105*(J6*0.01*4.409*0.82)^3-1.12)/2.2)</f>
        <v>0.50309289093073983</v>
      </c>
      <c r="M6" s="111">
        <f>IF(J6=0,0,(1.42*(J6*0.01*4.409*0.82)-0.174*(J6*0.01*4.409*0.82)^2+0.0122*(J6*0.01*4.409*0.82)^3-1.65)/2.2)</f>
        <v>0.24993446509130074</v>
      </c>
      <c r="N6" s="107">
        <v>8.9</v>
      </c>
      <c r="O6" s="107">
        <v>83</v>
      </c>
      <c r="P6" s="107">
        <v>2.1</v>
      </c>
      <c r="Q6" s="107">
        <v>0.46</v>
      </c>
      <c r="R6" s="107">
        <v>0.22</v>
      </c>
      <c r="S6" s="107">
        <v>0.25</v>
      </c>
      <c r="T6" s="107">
        <v>1.45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107">
        <v>0</v>
      </c>
      <c r="AA6" s="107">
        <v>0</v>
      </c>
      <c r="AB6" s="107">
        <v>0</v>
      </c>
      <c r="AC6" s="107">
        <v>0</v>
      </c>
      <c r="AD6" s="107">
        <v>304.2</v>
      </c>
      <c r="AE6" s="107">
        <v>0</v>
      </c>
      <c r="AF6" s="107">
        <v>0</v>
      </c>
      <c r="AG6" s="112"/>
      <c r="AH6" s="112"/>
    </row>
    <row r="7" spans="1:34" ht="13.5" thickBot="1">
      <c r="A7" s="107">
        <v>102</v>
      </c>
      <c r="B7" s="113" t="s">
        <v>514</v>
      </c>
      <c r="C7" s="113"/>
      <c r="D7" s="109">
        <v>3.25</v>
      </c>
      <c r="E7" s="108">
        <v>0</v>
      </c>
      <c r="F7" s="108">
        <v>100</v>
      </c>
      <c r="G7" s="113">
        <v>88</v>
      </c>
      <c r="H7" s="113">
        <v>71</v>
      </c>
      <c r="I7" s="107">
        <v>98</v>
      </c>
      <c r="J7" s="114">
        <v>57</v>
      </c>
      <c r="K7" s="115">
        <f t="shared" ref="K7:K70" si="1">(J7*0.01*4.409*0.82)/2.2</f>
        <v>0.9367120909090908</v>
      </c>
      <c r="L7" s="115">
        <f t="shared" si="0"/>
        <v>0.54958594680555017</v>
      </c>
      <c r="M7" s="115">
        <f t="shared" ref="M7:M70" si="2">IF(J7=0,0,(1.42*(J7*0.01*4.409*0.82)-0.174*(J7*0.01*4.409*0.82)^2+0.0122*(J7*0.01*4.409*0.82)^3-1.65)/2.2)</f>
        <v>0.29278262459634141</v>
      </c>
      <c r="N7" s="113">
        <v>9.6</v>
      </c>
      <c r="O7" s="107">
        <v>75</v>
      </c>
      <c r="P7" s="107">
        <v>1.6</v>
      </c>
      <c r="Q7" s="113">
        <v>0.33</v>
      </c>
      <c r="R7" s="113">
        <v>0.17</v>
      </c>
      <c r="S7" s="113">
        <v>0.28000000000000003</v>
      </c>
      <c r="T7" s="113">
        <v>1.39</v>
      </c>
      <c r="U7" s="113">
        <v>0.04</v>
      </c>
      <c r="V7" s="113">
        <v>0.2</v>
      </c>
      <c r="W7" s="113">
        <v>0</v>
      </c>
      <c r="X7" s="113">
        <v>10</v>
      </c>
      <c r="Y7" s="113">
        <v>0</v>
      </c>
      <c r="Z7" s="113">
        <v>220</v>
      </c>
      <c r="AA7" s="113">
        <v>184</v>
      </c>
      <c r="AB7" s="113">
        <v>0.08</v>
      </c>
      <c r="AC7" s="113">
        <v>34</v>
      </c>
      <c r="AD7" s="113">
        <v>0</v>
      </c>
      <c r="AE7" s="113">
        <v>0</v>
      </c>
      <c r="AF7" s="113">
        <v>0</v>
      </c>
      <c r="AG7" s="112"/>
      <c r="AH7" s="112"/>
    </row>
    <row r="8" spans="1:34" ht="13.5" thickBot="1">
      <c r="A8" s="107">
        <v>103</v>
      </c>
      <c r="B8" s="113" t="s">
        <v>515</v>
      </c>
      <c r="C8" s="107"/>
      <c r="D8" s="109">
        <v>0</v>
      </c>
      <c r="E8" s="107">
        <v>0</v>
      </c>
      <c r="F8" s="107">
        <v>100</v>
      </c>
      <c r="G8" s="113">
        <v>87</v>
      </c>
      <c r="H8" s="113">
        <v>74</v>
      </c>
      <c r="I8" s="107">
        <v>98</v>
      </c>
      <c r="J8" s="114">
        <v>60</v>
      </c>
      <c r="K8" s="111">
        <f t="shared" si="1"/>
        <v>0.98601272727272715</v>
      </c>
      <c r="L8" s="111">
        <f t="shared" si="0"/>
        <v>0.59529739099893775</v>
      </c>
      <c r="M8" s="111">
        <f t="shared" si="2"/>
        <v>0.33457657038005989</v>
      </c>
      <c r="N8" s="113">
        <v>11</v>
      </c>
      <c r="O8" s="107">
        <v>75</v>
      </c>
      <c r="P8" s="107">
        <v>2.7</v>
      </c>
      <c r="Q8" s="113">
        <v>0.51</v>
      </c>
      <c r="R8" s="113">
        <v>0.27</v>
      </c>
      <c r="S8" s="113">
        <v>0.22</v>
      </c>
      <c r="T8" s="113">
        <v>1.86</v>
      </c>
      <c r="U8" s="107">
        <v>0.04</v>
      </c>
      <c r="V8" s="107">
        <v>0.21</v>
      </c>
      <c r="W8" s="107">
        <v>0.12</v>
      </c>
      <c r="X8" s="107">
        <v>11</v>
      </c>
      <c r="Y8" s="107">
        <v>0</v>
      </c>
      <c r="Z8" s="107">
        <v>212</v>
      </c>
      <c r="AA8" s="107">
        <v>175</v>
      </c>
      <c r="AB8" s="107">
        <v>0.08</v>
      </c>
      <c r="AC8" s="107">
        <v>34</v>
      </c>
      <c r="AD8" s="107">
        <v>0</v>
      </c>
      <c r="AE8" s="107">
        <v>0</v>
      </c>
      <c r="AF8" s="107">
        <v>0</v>
      </c>
      <c r="AG8" s="112"/>
      <c r="AH8" s="112"/>
    </row>
    <row r="9" spans="1:34" ht="13.5" thickBot="1">
      <c r="A9" s="107">
        <v>104</v>
      </c>
      <c r="B9" s="107" t="s">
        <v>13</v>
      </c>
      <c r="C9" s="107" t="s">
        <v>12</v>
      </c>
      <c r="D9" s="109">
        <v>0</v>
      </c>
      <c r="E9" s="107">
        <v>0</v>
      </c>
      <c r="F9" s="107">
        <v>100</v>
      </c>
      <c r="G9" s="107">
        <v>88</v>
      </c>
      <c r="H9" s="107">
        <v>55</v>
      </c>
      <c r="I9" s="107">
        <v>98</v>
      </c>
      <c r="J9" s="110">
        <v>60</v>
      </c>
      <c r="K9" s="111">
        <f t="shared" si="1"/>
        <v>0.98601272727272715</v>
      </c>
      <c r="L9" s="111">
        <f t="shared" si="0"/>
        <v>0.59529739099893775</v>
      </c>
      <c r="M9" s="111">
        <f t="shared" si="2"/>
        <v>0.33457657038005989</v>
      </c>
      <c r="N9" s="107">
        <v>16</v>
      </c>
      <c r="O9" s="107">
        <v>79</v>
      </c>
      <c r="P9" s="107">
        <v>2.6</v>
      </c>
      <c r="Q9" s="107">
        <v>0.32</v>
      </c>
      <c r="R9" s="107">
        <v>0.37</v>
      </c>
      <c r="S9" s="107">
        <v>0.09</v>
      </c>
      <c r="T9" s="107">
        <v>2.3199999999999998</v>
      </c>
      <c r="U9" s="107">
        <v>0.02</v>
      </c>
      <c r="V9" s="107">
        <v>0.2</v>
      </c>
      <c r="W9" s="107">
        <v>0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107">
        <v>0</v>
      </c>
      <c r="AD9" s="107">
        <v>108.4</v>
      </c>
      <c r="AE9" s="107">
        <v>1</v>
      </c>
      <c r="AF9" s="107">
        <v>0</v>
      </c>
      <c r="AG9" s="112"/>
      <c r="AH9" s="112"/>
    </row>
    <row r="10" spans="1:34" ht="13.5" thickBot="1">
      <c r="A10" s="107">
        <v>105</v>
      </c>
      <c r="B10" s="107" t="s">
        <v>15</v>
      </c>
      <c r="C10" s="107" t="s">
        <v>14</v>
      </c>
      <c r="D10" s="109">
        <v>0</v>
      </c>
      <c r="E10" s="107">
        <v>0</v>
      </c>
      <c r="F10" s="107">
        <v>100</v>
      </c>
      <c r="G10" s="107">
        <v>88</v>
      </c>
      <c r="H10" s="107">
        <v>57.7</v>
      </c>
      <c r="I10" s="107">
        <v>98</v>
      </c>
      <c r="J10" s="110">
        <v>56</v>
      </c>
      <c r="K10" s="111">
        <f t="shared" si="1"/>
        <v>0.92027854545454535</v>
      </c>
      <c r="L10" s="111">
        <f t="shared" si="0"/>
        <v>0.53417691159666691</v>
      </c>
      <c r="M10" s="111">
        <f t="shared" si="2"/>
        <v>0.27861913609088595</v>
      </c>
      <c r="N10" s="107">
        <v>14.4</v>
      </c>
      <c r="O10" s="107">
        <v>79</v>
      </c>
      <c r="P10" s="107">
        <v>2.2000000000000002</v>
      </c>
      <c r="Q10" s="107">
        <v>0.28999999999999998</v>
      </c>
      <c r="R10" s="107">
        <v>0.28000000000000003</v>
      </c>
      <c r="S10" s="107">
        <v>0.1</v>
      </c>
      <c r="T10" s="107">
        <v>1.99</v>
      </c>
      <c r="U10" s="107">
        <v>0.01</v>
      </c>
      <c r="V10" s="107">
        <v>0</v>
      </c>
      <c r="W10" s="107">
        <v>0.57999999999999996</v>
      </c>
      <c r="X10" s="107">
        <v>25</v>
      </c>
      <c r="Y10" s="107">
        <v>0</v>
      </c>
      <c r="Z10" s="107">
        <v>91</v>
      </c>
      <c r="AA10" s="107">
        <v>40</v>
      </c>
      <c r="AB10" s="107">
        <v>0</v>
      </c>
      <c r="AC10" s="107">
        <v>30</v>
      </c>
      <c r="AD10" s="107">
        <v>26</v>
      </c>
      <c r="AE10" s="107">
        <v>0</v>
      </c>
      <c r="AF10" s="107">
        <v>0</v>
      </c>
      <c r="AG10" s="112"/>
      <c r="AH10" s="112"/>
    </row>
    <row r="11" spans="1:34" ht="13.5" thickBot="1">
      <c r="A11" s="107">
        <v>106</v>
      </c>
      <c r="B11" s="107" t="s">
        <v>17</v>
      </c>
      <c r="C11" s="107" t="s">
        <v>16</v>
      </c>
      <c r="D11" s="109">
        <v>0</v>
      </c>
      <c r="E11" s="107">
        <v>0</v>
      </c>
      <c r="F11" s="107">
        <v>100</v>
      </c>
      <c r="G11" s="107">
        <v>91</v>
      </c>
      <c r="H11" s="107">
        <v>68</v>
      </c>
      <c r="I11" s="107">
        <v>98</v>
      </c>
      <c r="J11" s="110">
        <v>55</v>
      </c>
      <c r="K11" s="111">
        <f t="shared" si="1"/>
        <v>0.90384499999999979</v>
      </c>
      <c r="L11" s="111">
        <f t="shared" si="0"/>
        <v>0.51867967739014842</v>
      </c>
      <c r="M11" s="111">
        <f t="shared" si="2"/>
        <v>0.26433694037378042</v>
      </c>
      <c r="N11" s="107">
        <v>10</v>
      </c>
      <c r="O11" s="107">
        <v>59</v>
      </c>
      <c r="P11" s="107">
        <v>2.2999999999999998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12"/>
      <c r="AH11" s="112"/>
    </row>
    <row r="12" spans="1:34" ht="13.5" thickBot="1">
      <c r="A12" s="107">
        <v>107</v>
      </c>
      <c r="B12" s="107" t="s">
        <v>19</v>
      </c>
      <c r="C12" s="107" t="s">
        <v>18</v>
      </c>
      <c r="D12" s="109">
        <v>0</v>
      </c>
      <c r="E12" s="107">
        <v>0</v>
      </c>
      <c r="F12" s="107">
        <v>100</v>
      </c>
      <c r="G12" s="107">
        <v>92</v>
      </c>
      <c r="H12" s="107">
        <v>70.5</v>
      </c>
      <c r="I12" s="107">
        <v>98</v>
      </c>
      <c r="J12" s="110">
        <v>53</v>
      </c>
      <c r="K12" s="111">
        <f t="shared" si="1"/>
        <v>0.870977909090909</v>
      </c>
      <c r="L12" s="111">
        <f t="shared" si="0"/>
        <v>0.48741519896318503</v>
      </c>
      <c r="M12" s="111">
        <f t="shared" si="2"/>
        <v>0.23541013788972137</v>
      </c>
      <c r="N12" s="107">
        <v>6</v>
      </c>
      <c r="O12" s="107">
        <v>48</v>
      </c>
      <c r="P12" s="107">
        <v>2</v>
      </c>
      <c r="Q12" s="107">
        <v>0.26</v>
      </c>
      <c r="R12" s="107">
        <v>0.22</v>
      </c>
      <c r="S12" s="107">
        <v>0.12</v>
      </c>
      <c r="T12" s="107">
        <v>1.85</v>
      </c>
      <c r="U12" s="107">
        <v>0.01</v>
      </c>
      <c r="V12" s="107">
        <v>0</v>
      </c>
      <c r="W12" s="107">
        <v>0</v>
      </c>
      <c r="X12" s="107">
        <v>10.4</v>
      </c>
      <c r="Y12" s="107">
        <v>0</v>
      </c>
      <c r="Z12" s="107">
        <v>80</v>
      </c>
      <c r="AA12" s="107">
        <v>73</v>
      </c>
      <c r="AB12" s="107">
        <v>0</v>
      </c>
      <c r="AC12" s="107">
        <v>24</v>
      </c>
      <c r="AD12" s="107">
        <v>15</v>
      </c>
      <c r="AE12" s="107">
        <v>1</v>
      </c>
      <c r="AF12" s="107">
        <v>0</v>
      </c>
      <c r="AG12" s="112"/>
      <c r="AH12" s="112"/>
    </row>
    <row r="13" spans="1:34" ht="13.5" thickBot="1">
      <c r="A13" s="107">
        <v>108</v>
      </c>
      <c r="B13" s="107" t="s">
        <v>21</v>
      </c>
      <c r="C13" s="107" t="s">
        <v>20</v>
      </c>
      <c r="D13" s="109">
        <v>0</v>
      </c>
      <c r="E13" s="107">
        <v>0</v>
      </c>
      <c r="F13" s="107">
        <v>100</v>
      </c>
      <c r="G13" s="107">
        <v>88</v>
      </c>
      <c r="H13" s="107">
        <v>65</v>
      </c>
      <c r="I13" s="107">
        <v>98</v>
      </c>
      <c r="J13" s="110">
        <v>56</v>
      </c>
      <c r="K13" s="111">
        <f t="shared" si="1"/>
        <v>0.92027854545454535</v>
      </c>
      <c r="L13" s="111">
        <f t="shared" si="0"/>
        <v>0.53417691159666691</v>
      </c>
      <c r="M13" s="111">
        <f t="shared" si="2"/>
        <v>0.27861913609088595</v>
      </c>
      <c r="N13" s="107">
        <v>9.1</v>
      </c>
      <c r="O13" s="107">
        <v>67</v>
      </c>
      <c r="P13" s="107">
        <v>2.4</v>
      </c>
      <c r="Q13" s="107">
        <v>0.37</v>
      </c>
      <c r="R13" s="107">
        <v>0.28999999999999998</v>
      </c>
      <c r="S13" s="107">
        <v>0.5</v>
      </c>
      <c r="T13" s="107">
        <v>1.84</v>
      </c>
      <c r="U13" s="107">
        <v>0</v>
      </c>
      <c r="V13" s="107">
        <v>0</v>
      </c>
      <c r="W13" s="107">
        <v>0.13500000000000001</v>
      </c>
      <c r="X13" s="107">
        <v>0</v>
      </c>
      <c r="Y13" s="107">
        <v>0</v>
      </c>
      <c r="Z13" s="107">
        <v>0</v>
      </c>
      <c r="AA13" s="107">
        <v>24.5</v>
      </c>
      <c r="AB13" s="107">
        <v>0</v>
      </c>
      <c r="AC13" s="107">
        <v>0</v>
      </c>
      <c r="AD13" s="107">
        <v>120.9</v>
      </c>
      <c r="AE13" s="107">
        <v>0</v>
      </c>
      <c r="AF13" s="107">
        <v>135.6</v>
      </c>
      <c r="AG13" s="112"/>
      <c r="AH13" s="112"/>
    </row>
    <row r="14" spans="1:34" ht="13.5" thickBot="1">
      <c r="A14" s="107">
        <v>109</v>
      </c>
      <c r="B14" s="107" t="s">
        <v>23</v>
      </c>
      <c r="C14" s="107" t="s">
        <v>22</v>
      </c>
      <c r="D14" s="109">
        <v>0</v>
      </c>
      <c r="E14" s="107">
        <v>0</v>
      </c>
      <c r="F14" s="107">
        <v>100</v>
      </c>
      <c r="G14" s="107">
        <v>89</v>
      </c>
      <c r="H14" s="107">
        <v>70</v>
      </c>
      <c r="I14" s="107">
        <v>98</v>
      </c>
      <c r="J14" s="110">
        <v>55</v>
      </c>
      <c r="K14" s="111">
        <f t="shared" si="1"/>
        <v>0.90384499999999979</v>
      </c>
      <c r="L14" s="111">
        <f t="shared" si="0"/>
        <v>0.51867967739014842</v>
      </c>
      <c r="M14" s="111">
        <f t="shared" si="2"/>
        <v>0.26433694037378042</v>
      </c>
      <c r="N14" s="107">
        <v>10.199999999999999</v>
      </c>
      <c r="O14" s="107">
        <v>71</v>
      </c>
      <c r="P14" s="107">
        <v>2.2000000000000002</v>
      </c>
      <c r="Q14" s="107">
        <v>0.39</v>
      </c>
      <c r="R14" s="107">
        <v>0.24</v>
      </c>
      <c r="S14" s="107">
        <v>0.23</v>
      </c>
      <c r="T14" s="107">
        <v>2.38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34.6</v>
      </c>
      <c r="AE14" s="107">
        <v>0</v>
      </c>
      <c r="AF14" s="107">
        <v>0</v>
      </c>
      <c r="AG14" s="112"/>
      <c r="AH14" s="112"/>
    </row>
    <row r="15" spans="1:34" ht="13.5" thickBot="1">
      <c r="A15" s="107">
        <v>110</v>
      </c>
      <c r="B15" s="113" t="s">
        <v>516</v>
      </c>
      <c r="C15" s="107"/>
      <c r="D15" s="109">
        <v>0</v>
      </c>
      <c r="E15" s="113">
        <v>0</v>
      </c>
      <c r="F15" s="113">
        <v>100</v>
      </c>
      <c r="G15" s="113">
        <v>91</v>
      </c>
      <c r="H15" s="113">
        <v>67</v>
      </c>
      <c r="I15" s="113">
        <v>98</v>
      </c>
      <c r="J15" s="114">
        <v>54</v>
      </c>
      <c r="K15" s="111">
        <f t="shared" si="1"/>
        <v>0.88741145454545456</v>
      </c>
      <c r="L15" s="111">
        <f t="shared" si="0"/>
        <v>0.50309289093073983</v>
      </c>
      <c r="M15" s="111">
        <f t="shared" si="2"/>
        <v>0.24993446509130074</v>
      </c>
      <c r="N15" s="113">
        <v>11</v>
      </c>
      <c r="O15" s="113">
        <v>75</v>
      </c>
      <c r="P15" s="113">
        <v>2.6</v>
      </c>
      <c r="Q15" s="113">
        <v>0.5</v>
      </c>
      <c r="R15" s="113">
        <v>0.3</v>
      </c>
      <c r="S15" s="113">
        <v>0.25</v>
      </c>
      <c r="T15" s="113">
        <v>2.11</v>
      </c>
      <c r="U15" s="113">
        <v>0.03</v>
      </c>
      <c r="V15" s="113">
        <v>0.24</v>
      </c>
      <c r="W15" s="113">
        <v>0</v>
      </c>
      <c r="X15" s="113">
        <v>8.9</v>
      </c>
      <c r="Y15" s="113">
        <v>0</v>
      </c>
      <c r="Z15" s="113">
        <v>154</v>
      </c>
      <c r="AA15" s="113">
        <v>150</v>
      </c>
      <c r="AB15" s="113">
        <v>0.08</v>
      </c>
      <c r="AC15" s="113">
        <v>29.3</v>
      </c>
      <c r="AD15" s="113">
        <v>0</v>
      </c>
      <c r="AE15" s="113">
        <v>0</v>
      </c>
      <c r="AF15" s="113">
        <v>0</v>
      </c>
      <c r="AG15" s="112"/>
      <c r="AH15" s="112"/>
    </row>
    <row r="16" spans="1:34" ht="13.5" thickBot="1">
      <c r="A16" s="107">
        <v>111</v>
      </c>
      <c r="B16" s="107" t="s">
        <v>25</v>
      </c>
      <c r="C16" s="107" t="s">
        <v>24</v>
      </c>
      <c r="D16" s="109">
        <v>0</v>
      </c>
      <c r="E16" s="107">
        <v>0</v>
      </c>
      <c r="F16" s="107">
        <v>100</v>
      </c>
      <c r="G16" s="107">
        <v>91</v>
      </c>
      <c r="H16" s="107">
        <v>67</v>
      </c>
      <c r="I16" s="107">
        <v>98</v>
      </c>
      <c r="J16" s="110">
        <v>58</v>
      </c>
      <c r="K16" s="111">
        <f t="shared" si="1"/>
        <v>0.95314563636363614</v>
      </c>
      <c r="L16" s="111">
        <f t="shared" si="0"/>
        <v>0.56490813627205272</v>
      </c>
      <c r="M16" s="111">
        <f t="shared" si="2"/>
        <v>0.30682897824387234</v>
      </c>
      <c r="N16" s="107">
        <v>12.9</v>
      </c>
      <c r="O16" s="107">
        <v>77</v>
      </c>
      <c r="P16" s="107">
        <v>5.3</v>
      </c>
      <c r="Q16" s="107">
        <v>0.43</v>
      </c>
      <c r="R16" s="107">
        <v>0.32</v>
      </c>
      <c r="S16" s="107">
        <v>0.17</v>
      </c>
      <c r="T16" s="107">
        <v>2.2999999999999998</v>
      </c>
      <c r="U16" s="107">
        <v>0</v>
      </c>
      <c r="V16" s="107">
        <v>0.26</v>
      </c>
      <c r="W16" s="107">
        <v>38</v>
      </c>
      <c r="X16" s="107">
        <v>28</v>
      </c>
      <c r="Y16" s="107">
        <v>0</v>
      </c>
      <c r="Z16" s="107">
        <v>0</v>
      </c>
      <c r="AA16" s="107">
        <v>103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12"/>
      <c r="AH16" s="112"/>
    </row>
    <row r="17" spans="1:34" ht="13.5" thickBot="1">
      <c r="A17" s="107">
        <v>112</v>
      </c>
      <c r="B17" s="107" t="s">
        <v>27</v>
      </c>
      <c r="C17" s="107" t="s">
        <v>26</v>
      </c>
      <c r="D17" s="109">
        <v>0</v>
      </c>
      <c r="E17" s="107">
        <v>0</v>
      </c>
      <c r="F17" s="107">
        <v>100</v>
      </c>
      <c r="G17" s="107">
        <v>91</v>
      </c>
      <c r="H17" s="107">
        <v>70</v>
      </c>
      <c r="I17" s="107">
        <v>98</v>
      </c>
      <c r="J17" s="110">
        <v>44</v>
      </c>
      <c r="K17" s="111">
        <f t="shared" si="1"/>
        <v>0.72307599999999994</v>
      </c>
      <c r="L17" s="111">
        <f t="shared" si="0"/>
        <v>0.34200193627155367</v>
      </c>
      <c r="M17" s="111">
        <f t="shared" si="2"/>
        <v>9.8948418351405248E-2</v>
      </c>
      <c r="N17" s="107">
        <v>9</v>
      </c>
      <c r="O17" s="107">
        <v>86</v>
      </c>
      <c r="P17" s="107">
        <v>4.7</v>
      </c>
      <c r="Q17" s="107">
        <v>0.41</v>
      </c>
      <c r="R17" s="107">
        <v>0.3</v>
      </c>
      <c r="S17" s="107">
        <v>0.16</v>
      </c>
      <c r="T17" s="107">
        <v>1.96</v>
      </c>
      <c r="U17" s="107">
        <v>0.02</v>
      </c>
      <c r="V17" s="107">
        <v>0</v>
      </c>
      <c r="W17" s="107">
        <v>0</v>
      </c>
      <c r="X17" s="107">
        <v>22</v>
      </c>
      <c r="Y17" s="107">
        <v>0</v>
      </c>
      <c r="Z17" s="107">
        <v>132</v>
      </c>
      <c r="AA17" s="107">
        <v>97</v>
      </c>
      <c r="AB17" s="107">
        <v>0</v>
      </c>
      <c r="AC17" s="107">
        <v>35</v>
      </c>
      <c r="AD17" s="107">
        <v>0</v>
      </c>
      <c r="AE17" s="107">
        <v>0</v>
      </c>
      <c r="AF17" s="107">
        <v>0</v>
      </c>
      <c r="AG17" s="112"/>
      <c r="AH17" s="112"/>
    </row>
    <row r="18" spans="1:34" ht="13.5" thickBot="1">
      <c r="A18" s="107">
        <v>113</v>
      </c>
      <c r="B18" s="116" t="s">
        <v>48</v>
      </c>
      <c r="C18" s="116"/>
      <c r="D18" s="109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7">
        <f t="shared" si="1"/>
        <v>0</v>
      </c>
      <c r="L18" s="117">
        <f t="shared" si="0"/>
        <v>0</v>
      </c>
      <c r="M18" s="117">
        <f t="shared" si="2"/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2"/>
      <c r="AH18" s="112"/>
    </row>
    <row r="19" spans="1:34" ht="13.5" thickBot="1">
      <c r="A19" s="107">
        <v>114</v>
      </c>
      <c r="B19" s="116" t="s">
        <v>48</v>
      </c>
      <c r="C19" s="116"/>
      <c r="D19" s="109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7">
        <f t="shared" si="1"/>
        <v>0</v>
      </c>
      <c r="L19" s="117">
        <f t="shared" si="0"/>
        <v>0</v>
      </c>
      <c r="M19" s="117">
        <f t="shared" si="2"/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2"/>
      <c r="AH19" s="112"/>
    </row>
    <row r="20" spans="1:34" ht="13.5" thickBot="1">
      <c r="A20" s="107">
        <v>115</v>
      </c>
      <c r="B20" s="107" t="s">
        <v>29</v>
      </c>
      <c r="C20" s="107" t="s">
        <v>28</v>
      </c>
      <c r="D20" s="109">
        <v>0</v>
      </c>
      <c r="E20" s="107">
        <v>0</v>
      </c>
      <c r="F20" s="107">
        <v>100</v>
      </c>
      <c r="G20" s="107">
        <v>89</v>
      </c>
      <c r="H20" s="107">
        <v>59.6</v>
      </c>
      <c r="I20" s="107">
        <v>98</v>
      </c>
      <c r="J20" s="110">
        <v>65</v>
      </c>
      <c r="K20" s="111">
        <f t="shared" si="1"/>
        <v>1.0681804545454543</v>
      </c>
      <c r="L20" s="111">
        <f t="shared" si="0"/>
        <v>0.66984545519235161</v>
      </c>
      <c r="M20" s="111">
        <f t="shared" si="2"/>
        <v>0.40200575546759432</v>
      </c>
      <c r="N20" s="107">
        <v>12.8</v>
      </c>
      <c r="O20" s="107">
        <v>77</v>
      </c>
      <c r="P20" s="107">
        <v>2.9</v>
      </c>
      <c r="Q20" s="107">
        <v>0.45</v>
      </c>
      <c r="R20" s="107">
        <v>0.34</v>
      </c>
      <c r="S20" s="107">
        <v>0.11</v>
      </c>
      <c r="T20" s="107">
        <v>2.91</v>
      </c>
      <c r="U20" s="107">
        <v>0.01</v>
      </c>
      <c r="V20" s="107">
        <v>0.26</v>
      </c>
      <c r="W20" s="107">
        <v>0.43</v>
      </c>
      <c r="X20" s="107">
        <v>19</v>
      </c>
      <c r="Y20" s="107">
        <v>0</v>
      </c>
      <c r="Z20" s="107">
        <v>93</v>
      </c>
      <c r="AA20" s="107">
        <v>157</v>
      </c>
      <c r="AB20" s="107">
        <v>0</v>
      </c>
      <c r="AC20" s="107">
        <v>40</v>
      </c>
      <c r="AD20" s="107">
        <v>15</v>
      </c>
      <c r="AE20" s="107">
        <v>0</v>
      </c>
      <c r="AF20" s="107">
        <v>0</v>
      </c>
      <c r="AG20" s="112"/>
      <c r="AH20" s="112"/>
    </row>
    <row r="21" spans="1:34" ht="13.5" thickBot="1">
      <c r="A21" s="107">
        <v>116</v>
      </c>
      <c r="B21" s="107" t="s">
        <v>31</v>
      </c>
      <c r="C21" s="107" t="s">
        <v>30</v>
      </c>
      <c r="D21" s="109">
        <v>3.25</v>
      </c>
      <c r="E21" s="107">
        <v>0</v>
      </c>
      <c r="F21" s="107">
        <v>100</v>
      </c>
      <c r="G21" s="107">
        <v>90.6</v>
      </c>
      <c r="H21" s="107">
        <v>65</v>
      </c>
      <c r="I21" s="107">
        <v>98</v>
      </c>
      <c r="J21" s="110">
        <v>54</v>
      </c>
      <c r="K21" s="111">
        <f t="shared" si="1"/>
        <v>0.88741145454545456</v>
      </c>
      <c r="L21" s="111">
        <f t="shared" si="0"/>
        <v>0.50309289093073983</v>
      </c>
      <c r="M21" s="111">
        <f t="shared" si="2"/>
        <v>0.24993446509130074</v>
      </c>
      <c r="N21" s="107">
        <v>8.4</v>
      </c>
      <c r="O21" s="107">
        <v>64</v>
      </c>
      <c r="P21" s="107">
        <v>3.4</v>
      </c>
      <c r="Q21" s="107">
        <v>0.26</v>
      </c>
      <c r="R21" s="107">
        <v>0.3</v>
      </c>
      <c r="S21" s="107">
        <v>0.11</v>
      </c>
      <c r="T21" s="107">
        <v>2.67</v>
      </c>
      <c r="U21" s="107">
        <v>0.01</v>
      </c>
      <c r="V21" s="107">
        <v>0</v>
      </c>
      <c r="W21" s="107">
        <v>0.3</v>
      </c>
      <c r="X21" s="107">
        <v>20</v>
      </c>
      <c r="Y21" s="107">
        <v>20</v>
      </c>
      <c r="Z21" s="107">
        <v>84</v>
      </c>
      <c r="AA21" s="107">
        <v>167</v>
      </c>
      <c r="AB21" s="107">
        <v>0.03</v>
      </c>
      <c r="AC21" s="107">
        <v>38</v>
      </c>
      <c r="AD21" s="107">
        <v>8</v>
      </c>
      <c r="AE21" s="107">
        <v>0</v>
      </c>
      <c r="AF21" s="107">
        <v>0</v>
      </c>
      <c r="AG21" s="112"/>
      <c r="AH21" s="112"/>
    </row>
    <row r="22" spans="1:34" ht="13.5" thickBot="1">
      <c r="A22" s="107">
        <v>117</v>
      </c>
      <c r="B22" s="116" t="s">
        <v>48</v>
      </c>
      <c r="C22" s="107"/>
      <c r="D22" s="109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1">
        <f t="shared" si="1"/>
        <v>0</v>
      </c>
      <c r="L22" s="111">
        <f t="shared" si="0"/>
        <v>0</v>
      </c>
      <c r="M22" s="111">
        <f t="shared" si="2"/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2"/>
      <c r="AH22" s="112"/>
    </row>
    <row r="23" spans="1:34" ht="13.5" thickBot="1">
      <c r="A23" s="107">
        <v>118</v>
      </c>
      <c r="B23" s="116" t="s">
        <v>48</v>
      </c>
      <c r="C23" s="107"/>
      <c r="D23" s="109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1">
        <f t="shared" si="1"/>
        <v>0</v>
      </c>
      <c r="L23" s="111">
        <f t="shared" ref="L23:L86" si="3">IF(J23 = 0,0,(1.37*(J23*0.01*4.409*0.82)-0.138*(J23*0.01*4.409*0.82)^2+0.0105*(J23*0.01*4.409*0.82)^3-1.12)/2.2)</f>
        <v>0</v>
      </c>
      <c r="M23" s="111">
        <f t="shared" si="2"/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2"/>
      <c r="AH23" s="112"/>
    </row>
    <row r="24" spans="1:34" ht="13.5" thickBot="1">
      <c r="A24" s="107">
        <v>119</v>
      </c>
      <c r="B24" s="116" t="s">
        <v>48</v>
      </c>
      <c r="C24" s="107"/>
      <c r="D24" s="109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1">
        <f t="shared" si="1"/>
        <v>0</v>
      </c>
      <c r="L24" s="111">
        <f t="shared" si="3"/>
        <v>0</v>
      </c>
      <c r="M24" s="111">
        <f t="shared" si="2"/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2"/>
      <c r="AH24" s="112"/>
    </row>
    <row r="25" spans="1:34" ht="13.5" thickBot="1">
      <c r="A25" s="107">
        <v>120</v>
      </c>
      <c r="B25" s="107" t="s">
        <v>33</v>
      </c>
      <c r="C25" s="107" t="s">
        <v>32</v>
      </c>
      <c r="D25" s="109">
        <v>0</v>
      </c>
      <c r="E25" s="107">
        <v>0</v>
      </c>
      <c r="F25" s="107">
        <v>100</v>
      </c>
      <c r="G25" s="107">
        <v>88</v>
      </c>
      <c r="H25" s="107">
        <v>41</v>
      </c>
      <c r="I25" s="107">
        <v>98</v>
      </c>
      <c r="J25" s="110">
        <v>64</v>
      </c>
      <c r="K25" s="111">
        <f t="shared" si="1"/>
        <v>1.0517469090909088</v>
      </c>
      <c r="L25" s="111">
        <f t="shared" si="3"/>
        <v>0.65509329477536848</v>
      </c>
      <c r="M25" s="111">
        <f t="shared" si="2"/>
        <v>0.38873531992123722</v>
      </c>
      <c r="N25" s="107">
        <v>8.6</v>
      </c>
      <c r="O25" s="107">
        <v>65</v>
      </c>
      <c r="P25" s="107">
        <v>2.2000000000000002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199.9</v>
      </c>
      <c r="AE25" s="107">
        <v>0</v>
      </c>
      <c r="AF25" s="107">
        <v>0</v>
      </c>
      <c r="AG25" s="112"/>
      <c r="AH25" s="112"/>
    </row>
    <row r="26" spans="1:34" ht="13.5" thickBot="1">
      <c r="A26" s="107">
        <v>121</v>
      </c>
      <c r="B26" s="107" t="s">
        <v>35</v>
      </c>
      <c r="C26" s="107" t="s">
        <v>34</v>
      </c>
      <c r="D26" s="109">
        <v>0</v>
      </c>
      <c r="E26" s="107">
        <v>0</v>
      </c>
      <c r="F26" s="107">
        <v>100</v>
      </c>
      <c r="G26" s="107">
        <v>91</v>
      </c>
      <c r="H26" s="107">
        <v>66</v>
      </c>
      <c r="I26" s="107">
        <v>98</v>
      </c>
      <c r="J26" s="110">
        <v>56.09756097560976</v>
      </c>
      <c r="K26" s="111">
        <f t="shared" si="1"/>
        <v>0.92188181818181814</v>
      </c>
      <c r="L26" s="111">
        <f t="shared" si="3"/>
        <v>0.53568409295488906</v>
      </c>
      <c r="M26" s="111">
        <f t="shared" si="2"/>
        <v>0.28000614018366154</v>
      </c>
      <c r="N26" s="107">
        <v>11.3</v>
      </c>
      <c r="O26" s="107">
        <v>69</v>
      </c>
      <c r="P26" s="107">
        <v>1.8</v>
      </c>
      <c r="Q26" s="107">
        <v>0.51</v>
      </c>
      <c r="R26" s="107">
        <v>0.31</v>
      </c>
      <c r="S26" s="107">
        <v>0.37</v>
      </c>
      <c r="T26" s="107">
        <v>2.08</v>
      </c>
      <c r="U26" s="107">
        <v>0.02</v>
      </c>
      <c r="V26" s="107">
        <v>0.06</v>
      </c>
      <c r="W26" s="107">
        <v>0.127</v>
      </c>
      <c r="X26" s="107">
        <v>31.4</v>
      </c>
      <c r="Y26" s="107">
        <v>0</v>
      </c>
      <c r="Z26" s="107">
        <v>170</v>
      </c>
      <c r="AA26" s="107">
        <v>76.3</v>
      </c>
      <c r="AB26" s="107">
        <v>0</v>
      </c>
      <c r="AC26" s="107">
        <v>38</v>
      </c>
      <c r="AD26" s="107">
        <v>0</v>
      </c>
      <c r="AE26" s="107">
        <v>0</v>
      </c>
      <c r="AF26" s="107">
        <v>0</v>
      </c>
      <c r="AG26" s="112"/>
      <c r="AH26" s="112"/>
    </row>
    <row r="27" spans="1:34" ht="13.5" thickBot="1">
      <c r="A27" s="107">
        <v>122</v>
      </c>
      <c r="B27" s="107" t="s">
        <v>37</v>
      </c>
      <c r="C27" s="107" t="s">
        <v>36</v>
      </c>
      <c r="D27" s="109">
        <v>0</v>
      </c>
      <c r="E27" s="107">
        <v>0</v>
      </c>
      <c r="F27" s="107">
        <v>100</v>
      </c>
      <c r="G27" s="107">
        <v>18</v>
      </c>
      <c r="H27" s="107">
        <v>55</v>
      </c>
      <c r="I27" s="107">
        <v>41</v>
      </c>
      <c r="J27" s="110">
        <v>65</v>
      </c>
      <c r="K27" s="111">
        <f t="shared" si="1"/>
        <v>1.0681804545454543</v>
      </c>
      <c r="L27" s="111">
        <f t="shared" si="3"/>
        <v>0.66984545519235161</v>
      </c>
      <c r="M27" s="111">
        <f t="shared" si="2"/>
        <v>0.40200575546759432</v>
      </c>
      <c r="N27" s="107">
        <v>16.8</v>
      </c>
      <c r="O27" s="107">
        <v>88</v>
      </c>
      <c r="P27" s="107">
        <v>3.9</v>
      </c>
      <c r="Q27" s="107">
        <v>0.49</v>
      </c>
      <c r="R27" s="107">
        <v>0.44</v>
      </c>
      <c r="S27" s="107">
        <v>0.35</v>
      </c>
      <c r="T27" s="107">
        <v>2.14</v>
      </c>
      <c r="U27" s="107">
        <v>0</v>
      </c>
      <c r="V27" s="107">
        <v>0.11</v>
      </c>
      <c r="W27" s="107">
        <v>0.13300000000000001</v>
      </c>
      <c r="X27" s="107">
        <v>35.9</v>
      </c>
      <c r="Y27" s="107">
        <v>0</v>
      </c>
      <c r="Z27" s="107">
        <v>210</v>
      </c>
      <c r="AA27" s="107">
        <v>81.400000000000006</v>
      </c>
      <c r="AB27" s="107">
        <v>0</v>
      </c>
      <c r="AC27" s="107">
        <v>0</v>
      </c>
      <c r="AD27" s="107">
        <v>304.60000000000002</v>
      </c>
      <c r="AE27" s="107">
        <v>0</v>
      </c>
      <c r="AF27" s="107">
        <v>0</v>
      </c>
      <c r="AG27" s="112"/>
      <c r="AH27" s="112"/>
    </row>
    <row r="28" spans="1:34" ht="13.5" thickBot="1">
      <c r="A28" s="107">
        <v>123</v>
      </c>
      <c r="B28" s="107" t="s">
        <v>39</v>
      </c>
      <c r="C28" s="107" t="s">
        <v>38</v>
      </c>
      <c r="D28" s="109">
        <v>0</v>
      </c>
      <c r="E28" s="107">
        <v>0</v>
      </c>
      <c r="F28" s="107">
        <v>100</v>
      </c>
      <c r="G28" s="107">
        <v>28</v>
      </c>
      <c r="H28" s="107">
        <v>68</v>
      </c>
      <c r="I28" s="107">
        <v>41</v>
      </c>
      <c r="J28" s="110">
        <v>55</v>
      </c>
      <c r="K28" s="111">
        <f t="shared" si="1"/>
        <v>0.90384499999999979</v>
      </c>
      <c r="L28" s="111">
        <f t="shared" si="3"/>
        <v>0.51867967739014842</v>
      </c>
      <c r="M28" s="111">
        <f t="shared" si="2"/>
        <v>0.26433694037378042</v>
      </c>
      <c r="N28" s="107">
        <v>10.8</v>
      </c>
      <c r="O28" s="107">
        <v>72</v>
      </c>
      <c r="P28" s="107">
        <v>2.8</v>
      </c>
      <c r="Q28" s="107">
        <v>0.5</v>
      </c>
      <c r="R28" s="107">
        <v>0.21</v>
      </c>
      <c r="S28" s="107">
        <v>0.42</v>
      </c>
      <c r="T28" s="107">
        <v>2.61</v>
      </c>
      <c r="U28" s="107">
        <v>0.02</v>
      </c>
      <c r="V28" s="107">
        <v>0.06</v>
      </c>
      <c r="W28" s="107">
        <v>0.27</v>
      </c>
      <c r="X28" s="107">
        <v>36.6</v>
      </c>
      <c r="Y28" s="107">
        <v>0</v>
      </c>
      <c r="Z28" s="107">
        <v>120</v>
      </c>
      <c r="AA28" s="107">
        <v>98.8</v>
      </c>
      <c r="AB28" s="107">
        <v>0</v>
      </c>
      <c r="AC28" s="107">
        <v>0</v>
      </c>
      <c r="AD28" s="107">
        <v>175.4</v>
      </c>
      <c r="AE28" s="107">
        <v>0</v>
      </c>
      <c r="AF28" s="107">
        <v>0</v>
      </c>
      <c r="AG28" s="112"/>
      <c r="AH28" s="112"/>
    </row>
    <row r="29" spans="1:34" ht="13.5" thickBot="1">
      <c r="A29" s="107">
        <v>124</v>
      </c>
      <c r="B29" s="107" t="s">
        <v>41</v>
      </c>
      <c r="C29" s="107" t="s">
        <v>40</v>
      </c>
      <c r="D29" s="109">
        <v>0</v>
      </c>
      <c r="E29" s="107">
        <v>0</v>
      </c>
      <c r="F29" s="107">
        <v>100</v>
      </c>
      <c r="G29" s="107">
        <v>89</v>
      </c>
      <c r="H29" s="107">
        <v>55</v>
      </c>
      <c r="I29" s="107">
        <v>98</v>
      </c>
      <c r="J29" s="110">
        <v>62</v>
      </c>
      <c r="K29" s="111">
        <f t="shared" si="1"/>
        <v>1.0188798181818179</v>
      </c>
      <c r="L29" s="111">
        <f t="shared" si="3"/>
        <v>0.62535550181936272</v>
      </c>
      <c r="M29" s="111">
        <f t="shared" si="2"/>
        <v>0.36187449132924837</v>
      </c>
      <c r="N29" s="107">
        <v>14</v>
      </c>
      <c r="O29" s="107">
        <v>79</v>
      </c>
      <c r="P29" s="107">
        <v>3</v>
      </c>
      <c r="Q29" s="107">
        <v>0.45</v>
      </c>
      <c r="R29" s="107">
        <v>0.4</v>
      </c>
      <c r="S29" s="107">
        <v>0.11</v>
      </c>
      <c r="T29" s="107">
        <v>3.05</v>
      </c>
      <c r="U29" s="107">
        <v>7.0000000000000007E-2</v>
      </c>
      <c r="V29" s="107">
        <v>0.13</v>
      </c>
      <c r="W29" s="107">
        <v>0</v>
      </c>
      <c r="X29" s="107">
        <v>25.8</v>
      </c>
      <c r="Y29" s="107">
        <v>0</v>
      </c>
      <c r="Z29" s="107">
        <v>240</v>
      </c>
      <c r="AA29" s="107">
        <v>89</v>
      </c>
      <c r="AB29" s="107">
        <v>0</v>
      </c>
      <c r="AC29" s="107">
        <v>67</v>
      </c>
      <c r="AD29" s="107">
        <v>208.4</v>
      </c>
      <c r="AE29" s="107">
        <v>0</v>
      </c>
      <c r="AF29" s="107">
        <v>0</v>
      </c>
      <c r="AG29" s="112"/>
      <c r="AH29" s="112"/>
    </row>
    <row r="30" spans="1:34" ht="13.5" thickBot="1">
      <c r="A30" s="107">
        <v>125</v>
      </c>
      <c r="B30" s="107" t="s">
        <v>43</v>
      </c>
      <c r="C30" s="107" t="s">
        <v>42</v>
      </c>
      <c r="D30" s="109">
        <v>0</v>
      </c>
      <c r="E30" s="107">
        <v>0</v>
      </c>
      <c r="F30" s="107">
        <v>100</v>
      </c>
      <c r="G30" s="107">
        <v>89</v>
      </c>
      <c r="H30" s="107">
        <v>61.4</v>
      </c>
      <c r="I30" s="107">
        <v>98</v>
      </c>
      <c r="J30" s="110">
        <v>59</v>
      </c>
      <c r="K30" s="111">
        <f t="shared" si="1"/>
        <v>0.9695791818181817</v>
      </c>
      <c r="L30" s="111">
        <f t="shared" si="3"/>
        <v>0.58014483325143029</v>
      </c>
      <c r="M30" s="111">
        <f t="shared" si="2"/>
        <v>0.32075976938720335</v>
      </c>
      <c r="N30" s="107">
        <v>10.8</v>
      </c>
      <c r="O30" s="107">
        <v>73</v>
      </c>
      <c r="P30" s="107">
        <v>2.8</v>
      </c>
      <c r="Q30" s="107">
        <v>0.51</v>
      </c>
      <c r="R30" s="107">
        <v>0.28999999999999998</v>
      </c>
      <c r="S30" s="107">
        <v>0.13</v>
      </c>
      <c r="T30" s="107">
        <v>2.41</v>
      </c>
      <c r="U30" s="107">
        <v>0.01</v>
      </c>
      <c r="V30" s="107">
        <v>0.13</v>
      </c>
      <c r="W30" s="107">
        <v>0</v>
      </c>
      <c r="X30" s="107">
        <v>11</v>
      </c>
      <c r="Y30" s="107">
        <v>0</v>
      </c>
      <c r="Z30" s="107">
        <v>203</v>
      </c>
      <c r="AA30" s="107">
        <v>103</v>
      </c>
      <c r="AB30" s="107">
        <v>0</v>
      </c>
      <c r="AC30" s="107">
        <v>62</v>
      </c>
      <c r="AD30" s="107">
        <v>87.5</v>
      </c>
      <c r="AE30" s="107">
        <v>0</v>
      </c>
      <c r="AF30" s="107">
        <v>13</v>
      </c>
      <c r="AG30" s="112"/>
      <c r="AH30" s="112"/>
    </row>
    <row r="31" spans="1:34" ht="13.5" thickBot="1">
      <c r="A31" s="107">
        <v>126</v>
      </c>
      <c r="B31" s="107" t="s">
        <v>45</v>
      </c>
      <c r="C31" s="107" t="s">
        <v>44</v>
      </c>
      <c r="D31" s="109">
        <v>0</v>
      </c>
      <c r="E31" s="107">
        <v>0</v>
      </c>
      <c r="F31" s="107">
        <v>100</v>
      </c>
      <c r="G31" s="107">
        <v>89</v>
      </c>
      <c r="H31" s="107">
        <v>63.7</v>
      </c>
      <c r="I31" s="107">
        <v>98</v>
      </c>
      <c r="J31" s="110">
        <v>57</v>
      </c>
      <c r="K31" s="111">
        <f t="shared" si="1"/>
        <v>0.9367120909090908</v>
      </c>
      <c r="L31" s="111">
        <f t="shared" si="3"/>
        <v>0.54958594680555017</v>
      </c>
      <c r="M31" s="111">
        <f t="shared" si="2"/>
        <v>0.29278262459634141</v>
      </c>
      <c r="N31" s="107">
        <v>9.6999999999999993</v>
      </c>
      <c r="O31" s="107">
        <v>69</v>
      </c>
      <c r="P31" s="107">
        <v>2.7</v>
      </c>
      <c r="Q31" s="107">
        <v>0.48</v>
      </c>
      <c r="R31" s="107">
        <v>0.23</v>
      </c>
      <c r="S31" s="107">
        <v>0.13</v>
      </c>
      <c r="T31" s="107">
        <v>1.82</v>
      </c>
      <c r="U31" s="107">
        <v>0.01</v>
      </c>
      <c r="V31" s="107">
        <v>0.13</v>
      </c>
      <c r="W31" s="107">
        <v>0</v>
      </c>
      <c r="X31" s="107">
        <v>16</v>
      </c>
      <c r="Y31" s="107">
        <v>0</v>
      </c>
      <c r="Z31" s="107">
        <v>150</v>
      </c>
      <c r="AA31" s="107">
        <v>56.1</v>
      </c>
      <c r="AB31" s="107">
        <v>0</v>
      </c>
      <c r="AC31" s="107">
        <v>43</v>
      </c>
      <c r="AD31" s="107">
        <v>88.9</v>
      </c>
      <c r="AE31" s="107">
        <v>2</v>
      </c>
      <c r="AF31" s="107">
        <v>0</v>
      </c>
      <c r="AG31" s="112"/>
      <c r="AH31" s="112"/>
    </row>
    <row r="32" spans="1:34" ht="13.5" thickBot="1">
      <c r="A32" s="107">
        <v>127</v>
      </c>
      <c r="B32" s="107" t="s">
        <v>47</v>
      </c>
      <c r="C32" s="107" t="s">
        <v>46</v>
      </c>
      <c r="D32" s="109">
        <v>0</v>
      </c>
      <c r="E32" s="107">
        <v>0</v>
      </c>
      <c r="F32" s="107">
        <v>100</v>
      </c>
      <c r="G32" s="107">
        <v>89</v>
      </c>
      <c r="H32" s="107">
        <v>64.2</v>
      </c>
      <c r="I32" s="107">
        <v>98</v>
      </c>
      <c r="J32" s="110">
        <v>56</v>
      </c>
      <c r="K32" s="111">
        <f t="shared" si="1"/>
        <v>0.92027854545454535</v>
      </c>
      <c r="L32" s="111">
        <f t="shared" si="3"/>
        <v>0.53417691159666691</v>
      </c>
      <c r="M32" s="111">
        <f t="shared" si="2"/>
        <v>0.27861913609088595</v>
      </c>
      <c r="N32" s="107">
        <v>8.1</v>
      </c>
      <c r="O32" s="107">
        <v>62</v>
      </c>
      <c r="P32" s="107">
        <v>2.9</v>
      </c>
      <c r="Q32" s="107">
        <v>0.43</v>
      </c>
      <c r="R32" s="107">
        <v>0.2</v>
      </c>
      <c r="S32" s="107">
        <v>0.09</v>
      </c>
      <c r="T32" s="107">
        <v>1.99</v>
      </c>
      <c r="U32" s="107">
        <v>7.0000000000000007E-2</v>
      </c>
      <c r="V32" s="107">
        <v>0.14000000000000001</v>
      </c>
      <c r="W32" s="107">
        <v>0</v>
      </c>
      <c r="X32" s="107">
        <v>29</v>
      </c>
      <c r="Y32" s="107">
        <v>0</v>
      </c>
      <c r="Z32" s="107">
        <v>140</v>
      </c>
      <c r="AA32" s="107">
        <v>93</v>
      </c>
      <c r="AB32" s="107">
        <v>0</v>
      </c>
      <c r="AC32" s="107">
        <v>54</v>
      </c>
      <c r="AD32" s="107">
        <v>0</v>
      </c>
      <c r="AE32" s="107">
        <v>0</v>
      </c>
      <c r="AF32" s="107">
        <v>0</v>
      </c>
      <c r="AG32" s="112"/>
      <c r="AH32" s="112"/>
    </row>
    <row r="33" spans="1:34" ht="13.5" thickBot="1">
      <c r="A33" s="107">
        <v>128</v>
      </c>
      <c r="B33" s="116" t="s">
        <v>48</v>
      </c>
      <c r="C33" s="107"/>
      <c r="D33" s="109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1">
        <f t="shared" si="1"/>
        <v>0</v>
      </c>
      <c r="L33" s="111">
        <f t="shared" si="3"/>
        <v>0</v>
      </c>
      <c r="M33" s="111">
        <f t="shared" si="2"/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2"/>
      <c r="AH33" s="112"/>
    </row>
    <row r="34" spans="1:34" ht="13.5" thickBot="1">
      <c r="A34" s="107">
        <v>129</v>
      </c>
      <c r="B34" s="113" t="s">
        <v>513</v>
      </c>
      <c r="C34" s="113"/>
      <c r="D34" s="118">
        <v>0</v>
      </c>
      <c r="E34" s="113">
        <v>0</v>
      </c>
      <c r="F34" s="113">
        <v>100</v>
      </c>
      <c r="G34" s="113">
        <v>87.6</v>
      </c>
      <c r="H34" s="113">
        <v>67.099999999999994</v>
      </c>
      <c r="I34" s="113">
        <v>98</v>
      </c>
      <c r="J34" s="113">
        <v>52.9</v>
      </c>
      <c r="K34" s="111">
        <f t="shared" si="1"/>
        <v>0.86933455454545439</v>
      </c>
      <c r="L34" s="111">
        <f t="shared" si="3"/>
        <v>0.48584237786315421</v>
      </c>
      <c r="M34" s="111">
        <f t="shared" si="2"/>
        <v>0.23395094277839446</v>
      </c>
      <c r="N34" s="113">
        <v>11.1</v>
      </c>
      <c r="O34" s="113">
        <v>68</v>
      </c>
      <c r="P34" s="113">
        <v>2.7</v>
      </c>
      <c r="Q34" s="113">
        <v>0.57999999999999996</v>
      </c>
      <c r="R34" s="113">
        <v>0.3</v>
      </c>
      <c r="S34" s="113">
        <v>0.24</v>
      </c>
      <c r="T34" s="113">
        <v>1.89</v>
      </c>
      <c r="U34" s="113">
        <v>0.04</v>
      </c>
      <c r="V34" s="113">
        <v>0.23</v>
      </c>
      <c r="W34" s="113">
        <v>0.2</v>
      </c>
      <c r="X34" s="113">
        <v>10.7</v>
      </c>
      <c r="Y34" s="113">
        <v>0</v>
      </c>
      <c r="Z34" s="113">
        <v>220</v>
      </c>
      <c r="AA34" s="113">
        <v>184</v>
      </c>
      <c r="AB34" s="113">
        <v>0.09</v>
      </c>
      <c r="AC34" s="113">
        <v>35.299999999999997</v>
      </c>
      <c r="AD34" s="116">
        <v>0</v>
      </c>
      <c r="AE34" s="116">
        <v>0</v>
      </c>
      <c r="AF34" s="116">
        <v>0</v>
      </c>
      <c r="AG34" s="112"/>
      <c r="AH34" s="112"/>
    </row>
    <row r="35" spans="1:34" ht="13.5" thickBot="1">
      <c r="A35" s="107">
        <v>130</v>
      </c>
      <c r="B35" s="116" t="s">
        <v>48</v>
      </c>
      <c r="C35" s="116"/>
      <c r="D35" s="109">
        <v>0</v>
      </c>
      <c r="E35" s="116">
        <v>100</v>
      </c>
      <c r="F35" s="116">
        <v>0</v>
      </c>
      <c r="G35" s="116">
        <v>100</v>
      </c>
      <c r="H35" s="116">
        <v>0</v>
      </c>
      <c r="I35" s="116">
        <v>0</v>
      </c>
      <c r="J35" s="119">
        <v>0</v>
      </c>
      <c r="K35" s="111">
        <f t="shared" si="1"/>
        <v>0</v>
      </c>
      <c r="L35" s="111">
        <f t="shared" si="3"/>
        <v>0</v>
      </c>
      <c r="M35" s="111">
        <f t="shared" si="2"/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20"/>
      <c r="AH35" s="120"/>
    </row>
    <row r="36" spans="1:34" ht="13.5" thickBot="1">
      <c r="A36" s="107">
        <v>131</v>
      </c>
      <c r="B36" s="116" t="s">
        <v>48</v>
      </c>
      <c r="C36" s="116"/>
      <c r="D36" s="109">
        <v>0</v>
      </c>
      <c r="E36" s="116">
        <v>100</v>
      </c>
      <c r="F36" s="116">
        <v>0</v>
      </c>
      <c r="G36" s="116">
        <v>100</v>
      </c>
      <c r="H36" s="116">
        <v>0</v>
      </c>
      <c r="I36" s="116">
        <v>0</v>
      </c>
      <c r="J36" s="119">
        <v>0</v>
      </c>
      <c r="K36" s="111">
        <f t="shared" si="1"/>
        <v>0</v>
      </c>
      <c r="L36" s="111">
        <f t="shared" si="3"/>
        <v>0</v>
      </c>
      <c r="M36" s="111">
        <f t="shared" si="2"/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120"/>
      <c r="AH36" s="120"/>
    </row>
    <row r="37" spans="1:34" ht="13.5" thickBot="1">
      <c r="A37" s="107">
        <v>132</v>
      </c>
      <c r="B37" s="116" t="s">
        <v>48</v>
      </c>
      <c r="C37" s="116"/>
      <c r="D37" s="109">
        <v>0</v>
      </c>
      <c r="E37" s="116">
        <v>100</v>
      </c>
      <c r="F37" s="116">
        <v>0</v>
      </c>
      <c r="G37" s="116">
        <v>100</v>
      </c>
      <c r="H37" s="116">
        <v>0</v>
      </c>
      <c r="I37" s="116">
        <v>0</v>
      </c>
      <c r="J37" s="119">
        <v>0</v>
      </c>
      <c r="K37" s="111">
        <f t="shared" si="1"/>
        <v>0</v>
      </c>
      <c r="L37" s="111">
        <f t="shared" si="3"/>
        <v>0</v>
      </c>
      <c r="M37" s="111">
        <f t="shared" si="2"/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20"/>
      <c r="AH37" s="120"/>
    </row>
    <row r="38" spans="1:34" ht="13.5" thickBot="1">
      <c r="A38" s="107">
        <v>133</v>
      </c>
      <c r="B38" s="116" t="s">
        <v>48</v>
      </c>
      <c r="C38" s="116"/>
      <c r="D38" s="109">
        <v>0</v>
      </c>
      <c r="E38" s="116">
        <v>100</v>
      </c>
      <c r="F38" s="116">
        <v>0</v>
      </c>
      <c r="G38" s="116">
        <v>100</v>
      </c>
      <c r="H38" s="116">
        <v>0</v>
      </c>
      <c r="I38" s="116">
        <v>0</v>
      </c>
      <c r="J38" s="119">
        <v>0</v>
      </c>
      <c r="K38" s="111">
        <f t="shared" si="1"/>
        <v>0</v>
      </c>
      <c r="L38" s="111">
        <f t="shared" si="3"/>
        <v>0</v>
      </c>
      <c r="M38" s="111">
        <f t="shared" si="2"/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20"/>
      <c r="AH38" s="120"/>
    </row>
    <row r="39" spans="1:34" ht="13.5" thickBot="1">
      <c r="A39" s="107">
        <v>134</v>
      </c>
      <c r="B39" s="116" t="s">
        <v>48</v>
      </c>
      <c r="C39" s="116"/>
      <c r="D39" s="109">
        <v>0</v>
      </c>
      <c r="E39" s="116">
        <v>100</v>
      </c>
      <c r="F39" s="116">
        <v>0</v>
      </c>
      <c r="G39" s="116">
        <v>100</v>
      </c>
      <c r="H39" s="116">
        <v>0</v>
      </c>
      <c r="I39" s="116">
        <v>0</v>
      </c>
      <c r="J39" s="119">
        <v>0</v>
      </c>
      <c r="K39" s="111">
        <f t="shared" si="1"/>
        <v>0</v>
      </c>
      <c r="L39" s="111">
        <f t="shared" si="3"/>
        <v>0</v>
      </c>
      <c r="M39" s="111">
        <f t="shared" si="2"/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20"/>
      <c r="AH39" s="120"/>
    </row>
    <row r="40" spans="1:34" ht="13.5" thickBot="1">
      <c r="A40" s="107">
        <v>135</v>
      </c>
      <c r="B40" s="107" t="s">
        <v>50</v>
      </c>
      <c r="C40" s="107" t="s">
        <v>49</v>
      </c>
      <c r="D40" s="109">
        <v>0</v>
      </c>
      <c r="E40" s="107">
        <v>0</v>
      </c>
      <c r="F40" s="107">
        <v>100</v>
      </c>
      <c r="G40" s="107">
        <v>23</v>
      </c>
      <c r="H40" s="107">
        <v>47.9</v>
      </c>
      <c r="I40" s="107">
        <v>41</v>
      </c>
      <c r="J40" s="110">
        <v>74</v>
      </c>
      <c r="K40" s="111">
        <f t="shared" si="1"/>
        <v>1.2160823636363636</v>
      </c>
      <c r="L40" s="111">
        <f t="shared" si="3"/>
        <v>0.79935640306053435</v>
      </c>
      <c r="M40" s="111">
        <f t="shared" si="2"/>
        <v>0.51692333656618161</v>
      </c>
      <c r="N40" s="107">
        <v>21.3</v>
      </c>
      <c r="O40" s="107">
        <v>94</v>
      </c>
      <c r="P40" s="107">
        <v>4</v>
      </c>
      <c r="Q40" s="107">
        <v>0.55000000000000004</v>
      </c>
      <c r="R40" s="107">
        <v>0.45</v>
      </c>
      <c r="S40" s="107">
        <v>0.32</v>
      </c>
      <c r="T40" s="107">
        <v>3.16</v>
      </c>
      <c r="U40" s="107">
        <v>0</v>
      </c>
      <c r="V40" s="107">
        <v>0.2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21</v>
      </c>
      <c r="AD40" s="107">
        <v>184</v>
      </c>
      <c r="AE40" s="107">
        <v>0</v>
      </c>
      <c r="AF40" s="107">
        <v>0</v>
      </c>
      <c r="AG40" s="112"/>
      <c r="AH40" s="112"/>
    </row>
    <row r="41" spans="1:34" ht="13.5" thickBot="1">
      <c r="A41" s="107">
        <v>136</v>
      </c>
      <c r="B41" s="107" t="s">
        <v>51</v>
      </c>
      <c r="C41" s="107"/>
      <c r="D41" s="109">
        <v>0</v>
      </c>
      <c r="E41" s="107">
        <v>0</v>
      </c>
      <c r="F41" s="107">
        <v>100</v>
      </c>
      <c r="G41" s="107">
        <v>25</v>
      </c>
      <c r="H41" s="107">
        <v>55</v>
      </c>
      <c r="I41" s="107">
        <v>41</v>
      </c>
      <c r="J41" s="110">
        <v>67</v>
      </c>
      <c r="K41" s="111">
        <f t="shared" si="1"/>
        <v>1.1010475454545454</v>
      </c>
      <c r="L41" s="111">
        <f t="shared" si="3"/>
        <v>0.69912307018055508</v>
      </c>
      <c r="M41" s="111">
        <f t="shared" si="2"/>
        <v>0.42823453082965884</v>
      </c>
      <c r="N41" s="107">
        <v>15</v>
      </c>
      <c r="O41" s="107">
        <v>90</v>
      </c>
      <c r="P41" s="107">
        <v>3.7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07">
        <v>0</v>
      </c>
      <c r="AF41" s="107">
        <v>0</v>
      </c>
      <c r="AG41" s="112"/>
      <c r="AH41" s="112"/>
    </row>
    <row r="42" spans="1:34" ht="13.5" thickBot="1">
      <c r="A42" s="107">
        <v>137</v>
      </c>
      <c r="B42" s="107" t="s">
        <v>52</v>
      </c>
      <c r="C42" s="107"/>
      <c r="D42" s="109">
        <v>0</v>
      </c>
      <c r="E42" s="107">
        <v>0</v>
      </c>
      <c r="F42" s="107">
        <v>100</v>
      </c>
      <c r="G42" s="107">
        <v>24</v>
      </c>
      <c r="H42" s="107">
        <v>69</v>
      </c>
      <c r="I42" s="107">
        <v>41</v>
      </c>
      <c r="J42" s="110">
        <v>53</v>
      </c>
      <c r="K42" s="111">
        <f t="shared" si="1"/>
        <v>0.870977909090909</v>
      </c>
      <c r="L42" s="111">
        <f t="shared" si="3"/>
        <v>0.48741519896318503</v>
      </c>
      <c r="M42" s="111">
        <f t="shared" si="2"/>
        <v>0.23541013788972137</v>
      </c>
      <c r="N42" s="107">
        <v>14</v>
      </c>
      <c r="O42" s="107">
        <v>93</v>
      </c>
      <c r="P42" s="107">
        <v>3.7</v>
      </c>
      <c r="Q42" s="107">
        <v>0.45</v>
      </c>
      <c r="R42" s="107">
        <v>0.28000000000000003</v>
      </c>
      <c r="S42" s="107">
        <v>0.2</v>
      </c>
      <c r="T42" s="107">
        <v>2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0</v>
      </c>
      <c r="AE42" s="107">
        <v>0</v>
      </c>
      <c r="AF42" s="107">
        <v>0</v>
      </c>
      <c r="AG42" s="112"/>
      <c r="AH42" s="112"/>
    </row>
    <row r="43" spans="1:34" ht="13.5" thickBot="1">
      <c r="A43" s="107">
        <v>138</v>
      </c>
      <c r="B43" s="107" t="s">
        <v>53</v>
      </c>
      <c r="C43" s="107"/>
      <c r="D43" s="109">
        <v>0</v>
      </c>
      <c r="E43" s="107">
        <v>0</v>
      </c>
      <c r="F43" s="107">
        <v>100</v>
      </c>
      <c r="G43" s="107">
        <v>21</v>
      </c>
      <c r="H43" s="107">
        <v>41.5</v>
      </c>
      <c r="I43" s="107">
        <v>41</v>
      </c>
      <c r="J43" s="110">
        <v>79</v>
      </c>
      <c r="K43" s="111">
        <f t="shared" si="1"/>
        <v>1.2982500909090906</v>
      </c>
      <c r="L43" s="111">
        <f t="shared" si="3"/>
        <v>0.86900936363553549</v>
      </c>
      <c r="M43" s="111">
        <f t="shared" si="2"/>
        <v>0.57752889110833361</v>
      </c>
      <c r="N43" s="107">
        <v>26</v>
      </c>
      <c r="O43" s="107">
        <v>94</v>
      </c>
      <c r="P43" s="107">
        <v>3.2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07">
        <v>0</v>
      </c>
      <c r="AF43" s="107">
        <v>0</v>
      </c>
      <c r="AG43" s="112"/>
      <c r="AH43" s="112"/>
    </row>
    <row r="44" spans="1:34" ht="13.5" thickBot="1">
      <c r="A44" s="107">
        <v>139</v>
      </c>
      <c r="B44" s="107" t="s">
        <v>54</v>
      </c>
      <c r="C44" s="107"/>
      <c r="D44" s="109">
        <v>0</v>
      </c>
      <c r="E44" s="107">
        <v>0</v>
      </c>
      <c r="F44" s="107">
        <v>100</v>
      </c>
      <c r="G44" s="107">
        <v>22</v>
      </c>
      <c r="H44" s="107">
        <v>46.5</v>
      </c>
      <c r="I44" s="107">
        <v>41</v>
      </c>
      <c r="J44" s="110">
        <v>67</v>
      </c>
      <c r="K44" s="111">
        <f t="shared" si="1"/>
        <v>1.1010475454545454</v>
      </c>
      <c r="L44" s="111">
        <f t="shared" si="3"/>
        <v>0.69912307018055508</v>
      </c>
      <c r="M44" s="111">
        <f t="shared" si="2"/>
        <v>0.42823453082965884</v>
      </c>
      <c r="N44" s="107">
        <v>19.5</v>
      </c>
      <c r="O44" s="107">
        <v>92</v>
      </c>
      <c r="P44" s="107">
        <v>3.2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07">
        <v>0</v>
      </c>
      <c r="AF44" s="107">
        <v>0</v>
      </c>
      <c r="AG44" s="112"/>
      <c r="AH44" s="112"/>
    </row>
    <row r="45" spans="1:34" ht="13.5" thickBot="1">
      <c r="A45" s="107">
        <v>140</v>
      </c>
      <c r="B45" s="116" t="s">
        <v>48</v>
      </c>
      <c r="C45" s="107"/>
      <c r="D45" s="109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1">
        <f t="shared" si="1"/>
        <v>0</v>
      </c>
      <c r="L45" s="111">
        <f t="shared" si="3"/>
        <v>0</v>
      </c>
      <c r="M45" s="111">
        <f t="shared" si="2"/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2"/>
      <c r="AH45" s="112"/>
    </row>
    <row r="46" spans="1:34" ht="13.5" thickBot="1">
      <c r="A46" s="107">
        <v>141</v>
      </c>
      <c r="B46" s="116" t="s">
        <v>48</v>
      </c>
      <c r="C46" s="107"/>
      <c r="D46" s="109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1">
        <f t="shared" si="1"/>
        <v>0</v>
      </c>
      <c r="L46" s="111">
        <f t="shared" si="3"/>
        <v>0</v>
      </c>
      <c r="M46" s="111">
        <f t="shared" si="2"/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2"/>
      <c r="AH46" s="112"/>
    </row>
    <row r="47" spans="1:34" ht="13.5" thickBot="1">
      <c r="A47" s="107">
        <v>142</v>
      </c>
      <c r="B47" s="116" t="s">
        <v>559</v>
      </c>
      <c r="C47" s="107"/>
      <c r="D47" s="109">
        <v>0</v>
      </c>
      <c r="E47" s="116">
        <v>0</v>
      </c>
      <c r="F47" s="116">
        <v>100</v>
      </c>
      <c r="G47" s="116">
        <v>25</v>
      </c>
      <c r="H47" s="116">
        <v>68.7</v>
      </c>
      <c r="I47" s="116">
        <v>45</v>
      </c>
      <c r="J47" s="116">
        <v>59</v>
      </c>
      <c r="K47" s="111">
        <f t="shared" si="1"/>
        <v>0.9695791818181817</v>
      </c>
      <c r="L47" s="111">
        <f t="shared" si="3"/>
        <v>0.58014483325143029</v>
      </c>
      <c r="M47" s="111">
        <f t="shared" si="2"/>
        <v>0.32075976938720335</v>
      </c>
      <c r="N47" s="116">
        <v>13.5</v>
      </c>
      <c r="O47" s="116">
        <v>90</v>
      </c>
      <c r="P47" s="116">
        <v>3</v>
      </c>
      <c r="Q47" s="116">
        <v>0.48</v>
      </c>
      <c r="R47" s="116">
        <v>0.27</v>
      </c>
      <c r="S47" s="116">
        <v>0.16</v>
      </c>
      <c r="T47" s="116">
        <v>2.5</v>
      </c>
      <c r="U47" s="116">
        <v>0.04</v>
      </c>
      <c r="V47" s="116">
        <v>0.32</v>
      </c>
      <c r="W47" s="116">
        <v>0</v>
      </c>
      <c r="X47" s="116">
        <v>10.7</v>
      </c>
      <c r="Y47" s="116">
        <v>0</v>
      </c>
      <c r="Z47" s="116">
        <v>149</v>
      </c>
      <c r="AA47" s="116">
        <v>163</v>
      </c>
      <c r="AB47" s="116">
        <v>0.09</v>
      </c>
      <c r="AC47" s="116">
        <v>40.6</v>
      </c>
      <c r="AD47" s="116">
        <v>0</v>
      </c>
      <c r="AE47" s="116">
        <v>0</v>
      </c>
      <c r="AF47" s="116">
        <v>0</v>
      </c>
      <c r="AG47" s="112"/>
      <c r="AH47" s="112"/>
    </row>
    <row r="48" spans="1:34" ht="13.5" thickBot="1">
      <c r="A48" s="107">
        <v>143</v>
      </c>
      <c r="B48" s="116" t="s">
        <v>561</v>
      </c>
      <c r="C48" s="107"/>
      <c r="D48" s="109">
        <v>0</v>
      </c>
      <c r="E48" s="116">
        <v>0</v>
      </c>
      <c r="F48" s="116">
        <v>100</v>
      </c>
      <c r="G48" s="116">
        <v>25</v>
      </c>
      <c r="H48" s="116">
        <v>66.3</v>
      </c>
      <c r="I48" s="116">
        <v>45</v>
      </c>
      <c r="J48" s="116">
        <v>61</v>
      </c>
      <c r="K48" s="111">
        <f t="shared" si="1"/>
        <v>1.0024462727272725</v>
      </c>
      <c r="L48" s="111">
        <f t="shared" si="3"/>
        <v>0.61036716276983005</v>
      </c>
      <c r="M48" s="111">
        <f t="shared" si="2"/>
        <v>0.34828095357616651</v>
      </c>
      <c r="N48" s="116">
        <v>15.1</v>
      </c>
      <c r="O48" s="116">
        <v>90</v>
      </c>
      <c r="P48" s="116">
        <v>3</v>
      </c>
      <c r="Q48" s="116">
        <v>0.45</v>
      </c>
      <c r="R48" s="116">
        <v>0.33</v>
      </c>
      <c r="S48" s="116">
        <v>0.19</v>
      </c>
      <c r="T48" s="116">
        <v>2.5</v>
      </c>
      <c r="U48" s="116">
        <v>0.04</v>
      </c>
      <c r="V48" s="116">
        <v>0.3</v>
      </c>
      <c r="W48" s="116">
        <v>0</v>
      </c>
      <c r="X48" s="116">
        <v>9.6999999999999993</v>
      </c>
      <c r="Y48" s="116">
        <v>0</v>
      </c>
      <c r="Z48" s="116">
        <v>134</v>
      </c>
      <c r="AA48" s="116">
        <v>125</v>
      </c>
      <c r="AB48" s="116">
        <v>0</v>
      </c>
      <c r="AC48" s="116">
        <v>31.5</v>
      </c>
      <c r="AD48" s="116">
        <v>0</v>
      </c>
      <c r="AE48" s="116">
        <v>0</v>
      </c>
      <c r="AF48" s="116">
        <v>0</v>
      </c>
      <c r="AG48" s="112"/>
      <c r="AH48" s="112"/>
    </row>
    <row r="49" spans="1:34" ht="13.5" thickBot="1">
      <c r="A49" s="107">
        <v>144</v>
      </c>
      <c r="B49" s="116" t="s">
        <v>48</v>
      </c>
      <c r="C49" s="107"/>
      <c r="D49" s="109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1">
        <f t="shared" si="1"/>
        <v>0</v>
      </c>
      <c r="L49" s="111">
        <f t="shared" si="3"/>
        <v>0</v>
      </c>
      <c r="M49" s="111">
        <f t="shared" si="2"/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2"/>
      <c r="AH49" s="112"/>
    </row>
    <row r="50" spans="1:34" ht="13.5" thickBot="1">
      <c r="A50" s="107">
        <v>145</v>
      </c>
      <c r="B50" s="108" t="s">
        <v>502</v>
      </c>
      <c r="C50" s="108"/>
      <c r="D50" s="121">
        <v>0</v>
      </c>
      <c r="E50" s="108">
        <v>0</v>
      </c>
      <c r="F50" s="108">
        <v>100</v>
      </c>
      <c r="G50" s="108">
        <v>90</v>
      </c>
      <c r="H50" s="108">
        <v>88</v>
      </c>
      <c r="I50" s="108">
        <v>75</v>
      </c>
      <c r="J50" s="108">
        <v>50</v>
      </c>
      <c r="K50" s="115">
        <f t="shared" si="1"/>
        <v>0.82167727272727253</v>
      </c>
      <c r="L50" s="115">
        <f t="shared" si="3"/>
        <v>0.43982315745909745</v>
      </c>
      <c r="M50" s="115">
        <f t="shared" si="2"/>
        <v>0.19109032123313566</v>
      </c>
      <c r="N50" s="108">
        <v>4.2</v>
      </c>
      <c r="O50" s="108">
        <v>50</v>
      </c>
      <c r="P50" s="108">
        <v>1.7</v>
      </c>
      <c r="Q50" s="108">
        <v>0.15</v>
      </c>
      <c r="R50" s="108">
        <v>0.09</v>
      </c>
      <c r="S50" s="108">
        <v>0</v>
      </c>
      <c r="T50" s="108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12"/>
      <c r="AH50" s="112"/>
    </row>
    <row r="51" spans="1:34" ht="13.5" thickBot="1">
      <c r="A51" s="107">
        <v>146</v>
      </c>
      <c r="B51" s="116" t="s">
        <v>543</v>
      </c>
      <c r="C51" s="107"/>
      <c r="D51" s="109">
        <v>0</v>
      </c>
      <c r="E51" s="116">
        <v>20</v>
      </c>
      <c r="F51" s="116">
        <v>80</v>
      </c>
      <c r="G51" s="116">
        <v>90</v>
      </c>
      <c r="H51" s="116">
        <v>74</v>
      </c>
      <c r="I51" s="116">
        <v>75</v>
      </c>
      <c r="J51" s="116">
        <v>38</v>
      </c>
      <c r="K51" s="111">
        <f t="shared" si="1"/>
        <v>0.62447472727272713</v>
      </c>
      <c r="L51" s="111">
        <f t="shared" si="3"/>
        <v>0.24042094489893551</v>
      </c>
      <c r="M51" s="111">
        <f t="shared" si="2"/>
        <v>1.8537990411012074E-3</v>
      </c>
      <c r="N51" s="116">
        <v>6.6</v>
      </c>
      <c r="O51" s="116">
        <v>50</v>
      </c>
      <c r="P51" s="116">
        <v>2</v>
      </c>
      <c r="Q51" s="116">
        <v>0.26</v>
      </c>
      <c r="R51" s="116">
        <v>7.0000000000000007E-2</v>
      </c>
      <c r="S51" s="116">
        <v>0.17</v>
      </c>
      <c r="T51" s="116">
        <v>0.95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2"/>
      <c r="AH51" s="112"/>
    </row>
    <row r="52" spans="1:34" ht="13.5" thickBot="1">
      <c r="A52" s="107">
        <v>147</v>
      </c>
      <c r="B52" s="116" t="s">
        <v>48</v>
      </c>
      <c r="C52" s="107"/>
      <c r="D52" s="109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1">
        <f t="shared" si="1"/>
        <v>0</v>
      </c>
      <c r="L52" s="111">
        <f t="shared" si="3"/>
        <v>0</v>
      </c>
      <c r="M52" s="111">
        <f t="shared" si="2"/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2"/>
      <c r="AH52" s="112"/>
    </row>
    <row r="53" spans="1:34" ht="13.5" thickBot="1">
      <c r="A53" s="107">
        <v>148</v>
      </c>
      <c r="B53" s="116" t="s">
        <v>48</v>
      </c>
      <c r="C53" s="107"/>
      <c r="D53" s="109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1">
        <f t="shared" si="1"/>
        <v>0</v>
      </c>
      <c r="L53" s="111">
        <f t="shared" si="3"/>
        <v>0</v>
      </c>
      <c r="M53" s="111">
        <f t="shared" si="2"/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2"/>
      <c r="AH53" s="112"/>
    </row>
    <row r="54" spans="1:34" ht="13.5" thickBot="1">
      <c r="A54" s="107">
        <v>149</v>
      </c>
      <c r="B54" s="116" t="s">
        <v>48</v>
      </c>
      <c r="C54" s="116"/>
      <c r="D54" s="109">
        <v>0</v>
      </c>
      <c r="E54" s="116">
        <v>0</v>
      </c>
      <c r="F54" s="116">
        <v>100</v>
      </c>
      <c r="G54" s="116">
        <v>100</v>
      </c>
      <c r="H54" s="116">
        <v>0</v>
      </c>
      <c r="I54" s="116">
        <v>0</v>
      </c>
      <c r="J54" s="119">
        <v>0</v>
      </c>
      <c r="K54" s="111">
        <f t="shared" si="1"/>
        <v>0</v>
      </c>
      <c r="L54" s="111">
        <f t="shared" si="3"/>
        <v>0</v>
      </c>
      <c r="M54" s="111">
        <f t="shared" si="2"/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20"/>
      <c r="AH54" s="120"/>
    </row>
    <row r="55" spans="1:34" ht="13.5" thickBot="1">
      <c r="A55" s="107">
        <v>150</v>
      </c>
      <c r="B55" s="116" t="s">
        <v>48</v>
      </c>
      <c r="C55" s="116"/>
      <c r="D55" s="109">
        <v>0</v>
      </c>
      <c r="E55" s="116">
        <v>0</v>
      </c>
      <c r="F55" s="116">
        <v>100</v>
      </c>
      <c r="G55" s="116">
        <v>100</v>
      </c>
      <c r="H55" s="116">
        <v>0</v>
      </c>
      <c r="I55" s="116">
        <v>0</v>
      </c>
      <c r="J55" s="119">
        <v>0</v>
      </c>
      <c r="K55" s="111">
        <f t="shared" si="1"/>
        <v>0</v>
      </c>
      <c r="L55" s="111">
        <f t="shared" si="3"/>
        <v>0</v>
      </c>
      <c r="M55" s="111">
        <f t="shared" si="2"/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0</v>
      </c>
      <c r="AE55" s="116">
        <v>0</v>
      </c>
      <c r="AF55" s="116">
        <v>0</v>
      </c>
      <c r="AG55" s="120"/>
      <c r="AH55" s="120"/>
    </row>
    <row r="56" spans="1:34" ht="13.5" thickBot="1">
      <c r="A56" s="107">
        <v>201</v>
      </c>
      <c r="B56" s="107" t="s">
        <v>56</v>
      </c>
      <c r="C56" s="107" t="s">
        <v>55</v>
      </c>
      <c r="D56" s="109">
        <v>0</v>
      </c>
      <c r="E56" s="107">
        <v>0</v>
      </c>
      <c r="F56" s="107">
        <v>100</v>
      </c>
      <c r="G56" s="107">
        <v>91</v>
      </c>
      <c r="H56" s="107">
        <v>33</v>
      </c>
      <c r="I56" s="107">
        <v>92</v>
      </c>
      <c r="J56" s="110">
        <v>66</v>
      </c>
      <c r="K56" s="111">
        <f t="shared" si="1"/>
        <v>1.084614</v>
      </c>
      <c r="L56" s="111">
        <f t="shared" si="3"/>
        <v>0.68452159590899575</v>
      </c>
      <c r="M56" s="111">
        <f t="shared" si="2"/>
        <v>0.41517163498582677</v>
      </c>
      <c r="N56" s="107">
        <v>30</v>
      </c>
      <c r="O56" s="107">
        <v>90</v>
      </c>
      <c r="P56" s="107">
        <v>4</v>
      </c>
      <c r="Q56" s="107">
        <v>1.5</v>
      </c>
      <c r="R56" s="107">
        <v>0.33</v>
      </c>
      <c r="S56" s="107">
        <v>0.21</v>
      </c>
      <c r="T56" s="107">
        <v>2.5099999999999998</v>
      </c>
      <c r="U56" s="107">
        <v>0.12</v>
      </c>
      <c r="V56" s="107">
        <v>0.54</v>
      </c>
      <c r="W56" s="107">
        <v>0.28499999999999998</v>
      </c>
      <c r="X56" s="107">
        <v>11.4</v>
      </c>
      <c r="Y56" s="107">
        <v>0</v>
      </c>
      <c r="Z56" s="107">
        <v>240</v>
      </c>
      <c r="AA56" s="107">
        <v>47.1</v>
      </c>
      <c r="AB56" s="107">
        <v>0.55000000000000004</v>
      </c>
      <c r="AC56" s="107">
        <v>37.4</v>
      </c>
      <c r="AD56" s="107">
        <v>80</v>
      </c>
      <c r="AE56" s="107">
        <v>0</v>
      </c>
      <c r="AF56" s="107">
        <v>0</v>
      </c>
      <c r="AG56" s="112"/>
      <c r="AH56" s="112"/>
    </row>
    <row r="57" spans="1:34" ht="13.5" thickBot="1">
      <c r="A57" s="107">
        <v>202</v>
      </c>
      <c r="B57" s="107" t="s">
        <v>56</v>
      </c>
      <c r="C57" s="107" t="s">
        <v>57</v>
      </c>
      <c r="D57" s="109">
        <v>0</v>
      </c>
      <c r="E57" s="107">
        <v>0</v>
      </c>
      <c r="F57" s="107">
        <v>100</v>
      </c>
      <c r="G57" s="107">
        <v>91</v>
      </c>
      <c r="H57" s="107">
        <v>36</v>
      </c>
      <c r="I57" s="107">
        <v>92</v>
      </c>
      <c r="J57" s="110">
        <v>67</v>
      </c>
      <c r="K57" s="111">
        <f t="shared" si="1"/>
        <v>1.1010475454545454</v>
      </c>
      <c r="L57" s="111">
        <f t="shared" si="3"/>
        <v>0.69912307018055508</v>
      </c>
      <c r="M57" s="111">
        <f t="shared" si="2"/>
        <v>0.42823453082965884</v>
      </c>
      <c r="N57" s="107">
        <v>23.4</v>
      </c>
      <c r="O57" s="107">
        <v>87</v>
      </c>
      <c r="P57" s="107">
        <v>3.2</v>
      </c>
      <c r="Q57" s="107">
        <v>1.5</v>
      </c>
      <c r="R57" s="107">
        <v>0.33</v>
      </c>
      <c r="S57" s="107">
        <v>0.21</v>
      </c>
      <c r="T57" s="107">
        <v>2.5099999999999998</v>
      </c>
      <c r="U57" s="107">
        <v>0.12</v>
      </c>
      <c r="V57" s="107">
        <v>0.54</v>
      </c>
      <c r="W57" s="107">
        <v>0.28499999999999998</v>
      </c>
      <c r="X57" s="107">
        <v>11.4</v>
      </c>
      <c r="Y57" s="107">
        <v>0</v>
      </c>
      <c r="Z57" s="107">
        <v>240</v>
      </c>
      <c r="AA57" s="107">
        <v>47.1</v>
      </c>
      <c r="AB57" s="107">
        <v>0.55000000000000004</v>
      </c>
      <c r="AC57" s="107">
        <v>37.4</v>
      </c>
      <c r="AD57" s="107">
        <v>80</v>
      </c>
      <c r="AE57" s="107">
        <v>0</v>
      </c>
      <c r="AF57" s="107">
        <v>0</v>
      </c>
      <c r="AG57" s="112"/>
      <c r="AH57" s="112"/>
    </row>
    <row r="58" spans="1:34" ht="13.5" thickBot="1">
      <c r="A58" s="107">
        <v>203</v>
      </c>
      <c r="B58" s="107" t="s">
        <v>59</v>
      </c>
      <c r="C58" s="107" t="s">
        <v>58</v>
      </c>
      <c r="D58" s="109">
        <v>0</v>
      </c>
      <c r="E58" s="107">
        <v>0</v>
      </c>
      <c r="F58" s="107">
        <v>100</v>
      </c>
      <c r="G58" s="107">
        <v>91</v>
      </c>
      <c r="H58" s="107">
        <v>37</v>
      </c>
      <c r="I58" s="107">
        <v>92</v>
      </c>
      <c r="J58" s="110">
        <v>63</v>
      </c>
      <c r="K58" s="111">
        <f t="shared" si="1"/>
        <v>1.0353133636363634</v>
      </c>
      <c r="L58" s="111">
        <f t="shared" si="3"/>
        <v>0.64026376140279062</v>
      </c>
      <c r="M58" s="111">
        <f t="shared" si="2"/>
        <v>0.37535875599303037</v>
      </c>
      <c r="N58" s="107">
        <v>27</v>
      </c>
      <c r="O58" s="107">
        <v>89</v>
      </c>
      <c r="P58" s="107">
        <v>3.8</v>
      </c>
      <c r="Q58" s="107">
        <v>1.5</v>
      </c>
      <c r="R58" s="107">
        <v>0.33</v>
      </c>
      <c r="S58" s="107">
        <v>0.21</v>
      </c>
      <c r="T58" s="107">
        <v>2.5099999999999998</v>
      </c>
      <c r="U58" s="107">
        <v>0.12</v>
      </c>
      <c r="V58" s="107">
        <v>0.54</v>
      </c>
      <c r="W58" s="107">
        <v>0.28499999999999998</v>
      </c>
      <c r="X58" s="107">
        <v>11.4</v>
      </c>
      <c r="Y58" s="107">
        <v>0</v>
      </c>
      <c r="Z58" s="107">
        <v>240</v>
      </c>
      <c r="AA58" s="107">
        <v>47.1</v>
      </c>
      <c r="AB58" s="107">
        <v>0.55000000000000004</v>
      </c>
      <c r="AC58" s="107">
        <v>37.4</v>
      </c>
      <c r="AD58" s="107">
        <v>81</v>
      </c>
      <c r="AE58" s="107">
        <v>0</v>
      </c>
      <c r="AF58" s="107">
        <v>0</v>
      </c>
      <c r="AG58" s="112"/>
      <c r="AH58" s="112"/>
    </row>
    <row r="59" spans="1:34" ht="13.5" thickBot="1">
      <c r="A59" s="107">
        <v>204</v>
      </c>
      <c r="B59" s="107" t="s">
        <v>59</v>
      </c>
      <c r="C59" s="107" t="s">
        <v>57</v>
      </c>
      <c r="D59" s="109">
        <v>0</v>
      </c>
      <c r="E59" s="107">
        <v>0</v>
      </c>
      <c r="F59" s="107">
        <v>100</v>
      </c>
      <c r="G59" s="107">
        <v>91</v>
      </c>
      <c r="H59" s="107">
        <v>39</v>
      </c>
      <c r="I59" s="107">
        <v>92</v>
      </c>
      <c r="J59" s="110">
        <v>64</v>
      </c>
      <c r="K59" s="111">
        <f t="shared" si="1"/>
        <v>1.0517469090909088</v>
      </c>
      <c r="L59" s="111">
        <f t="shared" si="3"/>
        <v>0.65509329477536848</v>
      </c>
      <c r="M59" s="111">
        <f t="shared" si="2"/>
        <v>0.38873531992123722</v>
      </c>
      <c r="N59" s="107">
        <v>21.7</v>
      </c>
      <c r="O59" s="107">
        <v>86</v>
      </c>
      <c r="P59" s="107">
        <v>3</v>
      </c>
      <c r="Q59" s="107">
        <v>1.5</v>
      </c>
      <c r="R59" s="107">
        <v>0.33</v>
      </c>
      <c r="S59" s="107">
        <v>0.21</v>
      </c>
      <c r="T59" s="107">
        <v>2.5099999999999998</v>
      </c>
      <c r="U59" s="107">
        <v>0.12</v>
      </c>
      <c r="V59" s="107">
        <v>0.54</v>
      </c>
      <c r="W59" s="107">
        <v>0.28499999999999998</v>
      </c>
      <c r="X59" s="107">
        <v>11.4</v>
      </c>
      <c r="Y59" s="107">
        <v>0</v>
      </c>
      <c r="Z59" s="107">
        <v>240</v>
      </c>
      <c r="AA59" s="107">
        <v>47.1</v>
      </c>
      <c r="AB59" s="107">
        <v>0.55000000000000004</v>
      </c>
      <c r="AC59" s="107">
        <v>37.4</v>
      </c>
      <c r="AD59" s="107">
        <v>81</v>
      </c>
      <c r="AE59" s="107">
        <v>0</v>
      </c>
      <c r="AF59" s="107">
        <v>0</v>
      </c>
      <c r="AG59" s="112"/>
      <c r="AH59" s="112"/>
    </row>
    <row r="60" spans="1:34" ht="13.5" thickBot="1">
      <c r="A60" s="107">
        <v>205</v>
      </c>
      <c r="B60" s="107" t="s">
        <v>60</v>
      </c>
      <c r="C60" s="107" t="s">
        <v>58</v>
      </c>
      <c r="D60" s="109">
        <v>0</v>
      </c>
      <c r="E60" s="107">
        <v>0</v>
      </c>
      <c r="F60" s="107">
        <v>100</v>
      </c>
      <c r="G60" s="107">
        <v>91</v>
      </c>
      <c r="H60" s="107">
        <v>39.299999999999997</v>
      </c>
      <c r="I60" s="107">
        <v>92</v>
      </c>
      <c r="J60" s="110">
        <v>60</v>
      </c>
      <c r="K60" s="111">
        <f t="shared" si="1"/>
        <v>0.98601272727272715</v>
      </c>
      <c r="L60" s="111">
        <f t="shared" si="3"/>
        <v>0.59529739099893775</v>
      </c>
      <c r="M60" s="111">
        <f t="shared" si="2"/>
        <v>0.33457657038005989</v>
      </c>
      <c r="N60" s="107">
        <v>25</v>
      </c>
      <c r="O60" s="107">
        <v>88</v>
      </c>
      <c r="P60" s="107">
        <v>2.9</v>
      </c>
      <c r="Q60" s="107">
        <v>1.41</v>
      </c>
      <c r="R60" s="107">
        <v>0.22</v>
      </c>
      <c r="S60" s="107">
        <v>0.34</v>
      </c>
      <c r="T60" s="107">
        <v>2.5099999999999998</v>
      </c>
      <c r="U60" s="107">
        <v>0.12</v>
      </c>
      <c r="V60" s="107">
        <v>0.3</v>
      </c>
      <c r="W60" s="107">
        <v>0.28499999999999998</v>
      </c>
      <c r="X60" s="107">
        <v>12.7</v>
      </c>
      <c r="Y60" s="107">
        <v>0.17</v>
      </c>
      <c r="Z60" s="107">
        <v>240</v>
      </c>
      <c r="AA60" s="107">
        <v>36</v>
      </c>
      <c r="AB60" s="107">
        <v>0.55000000000000004</v>
      </c>
      <c r="AC60" s="107">
        <v>30</v>
      </c>
      <c r="AD60" s="107">
        <v>56</v>
      </c>
      <c r="AE60" s="107">
        <v>2</v>
      </c>
      <c r="AF60" s="107">
        <v>26</v>
      </c>
      <c r="AG60" s="112"/>
      <c r="AH60" s="112"/>
    </row>
    <row r="61" spans="1:34" ht="13.5" thickBot="1">
      <c r="A61" s="107">
        <v>206</v>
      </c>
      <c r="B61" s="107" t="s">
        <v>60</v>
      </c>
      <c r="C61" s="107" t="s">
        <v>57</v>
      </c>
      <c r="D61" s="109">
        <v>0</v>
      </c>
      <c r="E61" s="107">
        <v>0</v>
      </c>
      <c r="F61" s="107">
        <v>100</v>
      </c>
      <c r="G61" s="107">
        <v>91</v>
      </c>
      <c r="H61" s="107">
        <v>42</v>
      </c>
      <c r="I61" s="107">
        <v>92</v>
      </c>
      <c r="J61" s="110">
        <v>62</v>
      </c>
      <c r="K61" s="111">
        <f t="shared" si="1"/>
        <v>1.0188798181818179</v>
      </c>
      <c r="L61" s="111">
        <f t="shared" si="3"/>
        <v>0.62535550181936272</v>
      </c>
      <c r="M61" s="111">
        <f t="shared" si="2"/>
        <v>0.36187449132924837</v>
      </c>
      <c r="N61" s="107">
        <v>19.899999999999999</v>
      </c>
      <c r="O61" s="107">
        <v>84</v>
      </c>
      <c r="P61" s="107">
        <v>2.9</v>
      </c>
      <c r="Q61" s="107">
        <v>1.63</v>
      </c>
      <c r="R61" s="107">
        <v>0.22</v>
      </c>
      <c r="S61" s="107">
        <v>0.21</v>
      </c>
      <c r="T61" s="107">
        <v>2.5099999999999998</v>
      </c>
      <c r="U61" s="107">
        <v>0.12</v>
      </c>
      <c r="V61" s="107">
        <v>0.54</v>
      </c>
      <c r="W61" s="107">
        <v>0.28499999999999998</v>
      </c>
      <c r="X61" s="107">
        <v>11.4</v>
      </c>
      <c r="Y61" s="107">
        <v>0</v>
      </c>
      <c r="Z61" s="107">
        <v>240</v>
      </c>
      <c r="AA61" s="107">
        <v>47.1</v>
      </c>
      <c r="AB61" s="107">
        <v>0.55000000000000004</v>
      </c>
      <c r="AC61" s="107">
        <v>37.4</v>
      </c>
      <c r="AD61" s="107">
        <v>56</v>
      </c>
      <c r="AE61" s="107">
        <v>2</v>
      </c>
      <c r="AF61" s="107">
        <v>26</v>
      </c>
      <c r="AG61" s="112"/>
      <c r="AH61" s="112"/>
    </row>
    <row r="62" spans="1:34" ht="13.5" thickBot="1">
      <c r="A62" s="107">
        <v>207</v>
      </c>
      <c r="B62" s="107" t="s">
        <v>62</v>
      </c>
      <c r="C62" s="107" t="s">
        <v>61</v>
      </c>
      <c r="D62" s="109">
        <v>0</v>
      </c>
      <c r="E62" s="107">
        <v>0</v>
      </c>
      <c r="F62" s="107">
        <v>100</v>
      </c>
      <c r="G62" s="107">
        <v>91</v>
      </c>
      <c r="H62" s="107">
        <v>47.1</v>
      </c>
      <c r="I62" s="107">
        <v>92</v>
      </c>
      <c r="J62" s="110">
        <v>58</v>
      </c>
      <c r="K62" s="111">
        <f t="shared" si="1"/>
        <v>0.95314563636363614</v>
      </c>
      <c r="L62" s="111">
        <f t="shared" si="3"/>
        <v>0.56490813627205272</v>
      </c>
      <c r="M62" s="111">
        <f t="shared" si="2"/>
        <v>0.30682897824387234</v>
      </c>
      <c r="N62" s="107">
        <v>22</v>
      </c>
      <c r="O62" s="107">
        <v>84</v>
      </c>
      <c r="P62" s="107">
        <v>2.6</v>
      </c>
      <c r="Q62" s="107">
        <v>1.37</v>
      </c>
      <c r="R62" s="107">
        <v>0.22</v>
      </c>
      <c r="S62" s="107">
        <v>0.35</v>
      </c>
      <c r="T62" s="107">
        <v>1.56</v>
      </c>
      <c r="U62" s="107">
        <v>0.12</v>
      </c>
      <c r="V62" s="107">
        <v>0.28000000000000003</v>
      </c>
      <c r="W62" s="107">
        <v>0.39400000000000002</v>
      </c>
      <c r="X62" s="107">
        <v>17.7</v>
      </c>
      <c r="Y62" s="107">
        <v>0.16</v>
      </c>
      <c r="Z62" s="107">
        <v>225</v>
      </c>
      <c r="AA62" s="107">
        <v>28</v>
      </c>
      <c r="AB62" s="107">
        <v>0.55000000000000004</v>
      </c>
      <c r="AC62" s="107">
        <v>30.9</v>
      </c>
      <c r="AD62" s="107">
        <v>46</v>
      </c>
      <c r="AE62" s="107">
        <v>2</v>
      </c>
      <c r="AF62" s="107">
        <v>11</v>
      </c>
      <c r="AG62" s="112"/>
      <c r="AH62" s="112"/>
    </row>
    <row r="63" spans="1:34" ht="13.5" thickBot="1">
      <c r="A63" s="107">
        <v>208</v>
      </c>
      <c r="B63" s="107" t="s">
        <v>62</v>
      </c>
      <c r="C63" s="107" t="s">
        <v>57</v>
      </c>
      <c r="D63" s="109">
        <v>0</v>
      </c>
      <c r="E63" s="107">
        <v>0</v>
      </c>
      <c r="F63" s="107">
        <v>100</v>
      </c>
      <c r="G63" s="107">
        <v>91</v>
      </c>
      <c r="H63" s="107">
        <v>49</v>
      </c>
      <c r="I63" s="107">
        <v>92</v>
      </c>
      <c r="J63" s="110">
        <v>60</v>
      </c>
      <c r="K63" s="111">
        <f t="shared" si="1"/>
        <v>0.98601272727272715</v>
      </c>
      <c r="L63" s="111">
        <f t="shared" si="3"/>
        <v>0.59529739099893775</v>
      </c>
      <c r="M63" s="111">
        <f t="shared" si="2"/>
        <v>0.33457657038005989</v>
      </c>
      <c r="N63" s="107">
        <v>17</v>
      </c>
      <c r="O63" s="107">
        <v>82</v>
      </c>
      <c r="P63" s="107">
        <v>2.39</v>
      </c>
      <c r="Q63" s="107">
        <v>1.39</v>
      </c>
      <c r="R63" s="107">
        <v>0.24</v>
      </c>
      <c r="S63" s="107">
        <v>0.35</v>
      </c>
      <c r="T63" s="107">
        <v>1.56</v>
      </c>
      <c r="U63" s="107">
        <v>0.12</v>
      </c>
      <c r="V63" s="107">
        <v>0.28000000000000003</v>
      </c>
      <c r="W63" s="107">
        <v>0.39400000000000002</v>
      </c>
      <c r="X63" s="107">
        <v>17.100000000000001</v>
      </c>
      <c r="Y63" s="107">
        <v>0</v>
      </c>
      <c r="Z63" s="107">
        <v>225</v>
      </c>
      <c r="AA63" s="107">
        <v>60.5</v>
      </c>
      <c r="AB63" s="107">
        <v>0.55000000000000004</v>
      </c>
      <c r="AC63" s="107">
        <v>30.9</v>
      </c>
      <c r="AD63" s="107">
        <v>46</v>
      </c>
      <c r="AE63" s="107">
        <v>2</v>
      </c>
      <c r="AF63" s="107">
        <v>11</v>
      </c>
      <c r="AG63" s="112"/>
      <c r="AH63" s="112"/>
    </row>
    <row r="64" spans="1:34" ht="13.5" thickBot="1">
      <c r="A64" s="107">
        <v>209</v>
      </c>
      <c r="B64" s="107" t="s">
        <v>64</v>
      </c>
      <c r="C64" s="107" t="s">
        <v>63</v>
      </c>
      <c r="D64" s="109">
        <v>0</v>
      </c>
      <c r="E64" s="107">
        <v>0</v>
      </c>
      <c r="F64" s="107">
        <v>100</v>
      </c>
      <c r="G64" s="107">
        <v>91</v>
      </c>
      <c r="H64" s="107">
        <v>48.8</v>
      </c>
      <c r="I64" s="107">
        <v>92</v>
      </c>
      <c r="J64" s="110">
        <v>55</v>
      </c>
      <c r="K64" s="111">
        <f t="shared" si="1"/>
        <v>0.90384499999999979</v>
      </c>
      <c r="L64" s="111">
        <f t="shared" si="3"/>
        <v>0.51867967739014842</v>
      </c>
      <c r="M64" s="111">
        <f t="shared" si="2"/>
        <v>0.26433694037378042</v>
      </c>
      <c r="N64" s="107">
        <v>17</v>
      </c>
      <c r="O64" s="107">
        <v>82</v>
      </c>
      <c r="P64" s="107">
        <v>3.4</v>
      </c>
      <c r="Q64" s="107">
        <v>1.19</v>
      </c>
      <c r="R64" s="107">
        <v>0.24</v>
      </c>
      <c r="S64" s="107">
        <v>0.27</v>
      </c>
      <c r="T64" s="107">
        <v>1.56</v>
      </c>
      <c r="U64" s="107">
        <v>7.0000000000000007E-2</v>
      </c>
      <c r="V64" s="107">
        <v>0.27</v>
      </c>
      <c r="W64" s="107">
        <v>0.23</v>
      </c>
      <c r="X64" s="107">
        <v>9.9</v>
      </c>
      <c r="Y64" s="107">
        <v>0.13</v>
      </c>
      <c r="Z64" s="107">
        <v>155</v>
      </c>
      <c r="AA64" s="107">
        <v>42.3</v>
      </c>
      <c r="AB64" s="107">
        <v>0</v>
      </c>
      <c r="AC64" s="107">
        <v>26.1</v>
      </c>
      <c r="AD64" s="107">
        <v>26</v>
      </c>
      <c r="AE64" s="107">
        <v>2</v>
      </c>
      <c r="AF64" s="107">
        <v>11</v>
      </c>
      <c r="AG64" s="112"/>
      <c r="AH64" s="112"/>
    </row>
    <row r="65" spans="1:34" ht="13.5" thickBot="1">
      <c r="A65" s="107">
        <v>210</v>
      </c>
      <c r="B65" s="107" t="s">
        <v>64</v>
      </c>
      <c r="C65" s="107" t="s">
        <v>57</v>
      </c>
      <c r="D65" s="109">
        <v>0</v>
      </c>
      <c r="E65" s="107">
        <v>0</v>
      </c>
      <c r="F65" s="107">
        <v>100</v>
      </c>
      <c r="G65" s="107">
        <v>91</v>
      </c>
      <c r="H65" s="107">
        <v>51</v>
      </c>
      <c r="I65" s="107">
        <v>92</v>
      </c>
      <c r="J65" s="110">
        <v>56</v>
      </c>
      <c r="K65" s="111">
        <f t="shared" si="1"/>
        <v>0.92027854545454535</v>
      </c>
      <c r="L65" s="111">
        <f t="shared" si="3"/>
        <v>0.53417691159666691</v>
      </c>
      <c r="M65" s="111">
        <f t="shared" si="2"/>
        <v>0.27861913609088595</v>
      </c>
      <c r="N65" s="107">
        <v>13</v>
      </c>
      <c r="O65" s="107">
        <v>77</v>
      </c>
      <c r="P65" s="107">
        <v>1.8</v>
      </c>
      <c r="Q65" s="107">
        <v>1.19</v>
      </c>
      <c r="R65" s="107">
        <v>0.24</v>
      </c>
      <c r="S65" s="107">
        <v>0.27</v>
      </c>
      <c r="T65" s="107">
        <v>1.56</v>
      </c>
      <c r="U65" s="107">
        <v>7.0000000000000007E-2</v>
      </c>
      <c r="V65" s="107">
        <v>0.3</v>
      </c>
      <c r="W65" s="107">
        <v>0.23</v>
      </c>
      <c r="X65" s="107">
        <v>9.9</v>
      </c>
      <c r="Y65" s="107">
        <v>0</v>
      </c>
      <c r="Z65" s="107">
        <v>160</v>
      </c>
      <c r="AA65" s="107">
        <v>42.3</v>
      </c>
      <c r="AB65" s="107">
        <v>0.55000000000000004</v>
      </c>
      <c r="AC65" s="107">
        <v>26.1</v>
      </c>
      <c r="AD65" s="107">
        <v>26</v>
      </c>
      <c r="AE65" s="107">
        <v>2</v>
      </c>
      <c r="AF65" s="107">
        <v>11</v>
      </c>
      <c r="AG65" s="112"/>
      <c r="AH65" s="112"/>
    </row>
    <row r="66" spans="1:34" ht="13.5" thickBot="1">
      <c r="A66" s="107">
        <v>211</v>
      </c>
      <c r="B66" s="107" t="s">
        <v>66</v>
      </c>
      <c r="C66" s="107" t="s">
        <v>65</v>
      </c>
      <c r="D66" s="109">
        <v>0</v>
      </c>
      <c r="E66" s="107">
        <v>0</v>
      </c>
      <c r="F66" s="107">
        <v>100</v>
      </c>
      <c r="G66" s="107">
        <v>91</v>
      </c>
      <c r="H66" s="107">
        <v>53</v>
      </c>
      <c r="I66" s="107">
        <v>92</v>
      </c>
      <c r="J66" s="110">
        <v>52</v>
      </c>
      <c r="K66" s="111">
        <f t="shared" si="1"/>
        <v>0.85454436363636344</v>
      </c>
      <c r="L66" s="111">
        <f t="shared" si="3"/>
        <v>0.47164524823222981</v>
      </c>
      <c r="M66" s="111">
        <f t="shared" si="2"/>
        <v>0.22076238641531709</v>
      </c>
      <c r="N66" s="107">
        <v>17</v>
      </c>
      <c r="O66" s="107">
        <v>82</v>
      </c>
      <c r="P66" s="107">
        <v>1.5</v>
      </c>
      <c r="Q66" s="107">
        <v>1.19</v>
      </c>
      <c r="R66" s="107">
        <v>0.24</v>
      </c>
      <c r="S66" s="107">
        <v>0.27</v>
      </c>
      <c r="T66" s="107">
        <v>1.56</v>
      </c>
      <c r="U66" s="107">
        <v>7.0000000000000007E-2</v>
      </c>
      <c r="V66" s="107">
        <v>0.3</v>
      </c>
      <c r="W66" s="107">
        <v>0.23</v>
      </c>
      <c r="X66" s="107">
        <v>9.9</v>
      </c>
      <c r="Y66" s="107">
        <v>0.13</v>
      </c>
      <c r="Z66" s="107">
        <v>160</v>
      </c>
      <c r="AA66" s="107">
        <v>42.3</v>
      </c>
      <c r="AB66" s="107">
        <v>0.55000000000000004</v>
      </c>
      <c r="AC66" s="107">
        <v>26.1</v>
      </c>
      <c r="AD66" s="107">
        <v>19.3</v>
      </c>
      <c r="AE66" s="107">
        <v>1</v>
      </c>
      <c r="AF66" s="107">
        <v>0</v>
      </c>
      <c r="AG66" s="112"/>
      <c r="AH66" s="112"/>
    </row>
    <row r="67" spans="1:34" ht="13.5" thickBot="1">
      <c r="A67" s="107">
        <v>212</v>
      </c>
      <c r="B67" s="107" t="s">
        <v>66</v>
      </c>
      <c r="C67" s="107" t="s">
        <v>57</v>
      </c>
      <c r="D67" s="109">
        <v>0</v>
      </c>
      <c r="E67" s="107">
        <v>0</v>
      </c>
      <c r="F67" s="107">
        <v>100</v>
      </c>
      <c r="G67" s="107">
        <v>91</v>
      </c>
      <c r="H67" s="107">
        <v>55</v>
      </c>
      <c r="I67" s="107">
        <v>92</v>
      </c>
      <c r="J67" s="110">
        <v>53</v>
      </c>
      <c r="K67" s="111">
        <f t="shared" si="1"/>
        <v>0.870977909090909</v>
      </c>
      <c r="L67" s="111">
        <f t="shared" si="3"/>
        <v>0.48741519896318503</v>
      </c>
      <c r="M67" s="111">
        <f t="shared" si="2"/>
        <v>0.23541013788972137</v>
      </c>
      <c r="N67" s="107">
        <v>12</v>
      </c>
      <c r="O67" s="107">
        <v>75</v>
      </c>
      <c r="P67" s="107">
        <v>1.6</v>
      </c>
      <c r="Q67" s="107">
        <v>1.19</v>
      </c>
      <c r="R67" s="107">
        <v>0.24</v>
      </c>
      <c r="S67" s="107">
        <v>0.27</v>
      </c>
      <c r="T67" s="107">
        <v>1.56</v>
      </c>
      <c r="U67" s="107">
        <v>7.0000000000000007E-2</v>
      </c>
      <c r="V67" s="107">
        <v>0.3</v>
      </c>
      <c r="W67" s="107">
        <v>0.23</v>
      </c>
      <c r="X67" s="107">
        <v>9.9</v>
      </c>
      <c r="Y67" s="107">
        <v>0.13</v>
      </c>
      <c r="Z67" s="107">
        <v>160</v>
      </c>
      <c r="AA67" s="107">
        <v>42.3</v>
      </c>
      <c r="AB67" s="107">
        <v>0.55000000000000004</v>
      </c>
      <c r="AC67" s="107">
        <v>26.1</v>
      </c>
      <c r="AD67" s="107">
        <v>19.3</v>
      </c>
      <c r="AE67" s="107">
        <v>1</v>
      </c>
      <c r="AF67" s="107">
        <v>0</v>
      </c>
      <c r="AG67" s="112"/>
      <c r="AH67" s="112"/>
    </row>
    <row r="68" spans="1:34" ht="13.5" thickBot="1">
      <c r="A68" s="107">
        <v>213</v>
      </c>
      <c r="B68" s="107" t="s">
        <v>68</v>
      </c>
      <c r="C68" s="107" t="s">
        <v>67</v>
      </c>
      <c r="D68" s="109">
        <v>0</v>
      </c>
      <c r="E68" s="107">
        <v>0</v>
      </c>
      <c r="F68" s="107">
        <v>100</v>
      </c>
      <c r="G68" s="107">
        <v>91</v>
      </c>
      <c r="H68" s="107">
        <v>58</v>
      </c>
      <c r="I68" s="107">
        <v>92</v>
      </c>
      <c r="J68" s="110">
        <v>50</v>
      </c>
      <c r="K68" s="111">
        <f t="shared" si="1"/>
        <v>0.82167727272727253</v>
      </c>
      <c r="L68" s="111">
        <f t="shared" si="3"/>
        <v>0.43982315745909745</v>
      </c>
      <c r="M68" s="111">
        <f t="shared" si="2"/>
        <v>0.19109032123313566</v>
      </c>
      <c r="N68" s="107">
        <v>14</v>
      </c>
      <c r="O68" s="107">
        <v>79</v>
      </c>
      <c r="P68" s="107">
        <v>1.3</v>
      </c>
      <c r="Q68" s="107">
        <v>1.18</v>
      </c>
      <c r="R68" s="107">
        <v>0.21</v>
      </c>
      <c r="S68" s="107">
        <v>0.22</v>
      </c>
      <c r="T68" s="107">
        <v>2.0699999999999998</v>
      </c>
      <c r="U68" s="107">
        <v>0.08</v>
      </c>
      <c r="V68" s="107">
        <v>0.25</v>
      </c>
      <c r="W68" s="107">
        <v>0.40600000000000003</v>
      </c>
      <c r="X68" s="107">
        <v>13.7</v>
      </c>
      <c r="Y68" s="107">
        <v>0</v>
      </c>
      <c r="Z68" s="107">
        <v>170</v>
      </c>
      <c r="AA68" s="107">
        <v>38.5</v>
      </c>
      <c r="AB68" s="107">
        <v>0.55000000000000004</v>
      </c>
      <c r="AC68" s="107">
        <v>22.1</v>
      </c>
      <c r="AD68" s="107">
        <v>19.3</v>
      </c>
      <c r="AE68" s="107">
        <v>1</v>
      </c>
      <c r="AF68" s="107">
        <v>0</v>
      </c>
      <c r="AG68" s="112"/>
      <c r="AH68" s="112"/>
    </row>
    <row r="69" spans="1:34" ht="13.5" thickBot="1">
      <c r="A69" s="107">
        <v>214</v>
      </c>
      <c r="B69" s="107" t="s">
        <v>69</v>
      </c>
      <c r="C69" s="107"/>
      <c r="D69" s="109">
        <v>0</v>
      </c>
      <c r="E69" s="107">
        <v>0</v>
      </c>
      <c r="F69" s="107">
        <v>100</v>
      </c>
      <c r="G69" s="107">
        <v>91</v>
      </c>
      <c r="H69" s="107">
        <v>70</v>
      </c>
      <c r="I69" s="107">
        <v>92</v>
      </c>
      <c r="J69" s="110">
        <v>45</v>
      </c>
      <c r="K69" s="111">
        <f t="shared" si="1"/>
        <v>0.73950954545454528</v>
      </c>
      <c r="L69" s="111">
        <f t="shared" si="3"/>
        <v>0.35855867429889754</v>
      </c>
      <c r="M69" s="111">
        <f t="shared" si="2"/>
        <v>0.11464016874250429</v>
      </c>
      <c r="N69" s="107">
        <v>12</v>
      </c>
      <c r="O69" s="107">
        <v>75</v>
      </c>
      <c r="P69" s="107">
        <v>1</v>
      </c>
      <c r="Q69" s="107">
        <v>1.18</v>
      </c>
      <c r="R69" s="107">
        <v>0.21</v>
      </c>
      <c r="S69" s="107">
        <v>0.22</v>
      </c>
      <c r="T69" s="107">
        <v>2.0699999999999998</v>
      </c>
      <c r="U69" s="107">
        <v>0.08</v>
      </c>
      <c r="V69" s="107">
        <v>0.25</v>
      </c>
      <c r="W69" s="107">
        <v>0.40600000000000003</v>
      </c>
      <c r="X69" s="107">
        <v>13.7</v>
      </c>
      <c r="Y69" s="107">
        <v>0</v>
      </c>
      <c r="Z69" s="107">
        <v>170</v>
      </c>
      <c r="AA69" s="107">
        <v>38.5</v>
      </c>
      <c r="AB69" s="107">
        <v>0.55000000000000004</v>
      </c>
      <c r="AC69" s="107">
        <v>22.1</v>
      </c>
      <c r="AD69" s="107">
        <v>19.3</v>
      </c>
      <c r="AE69" s="107">
        <v>1</v>
      </c>
      <c r="AF69" s="107">
        <v>0</v>
      </c>
      <c r="AG69" s="112"/>
      <c r="AH69" s="112"/>
    </row>
    <row r="70" spans="1:34" ht="13.5" thickBot="1">
      <c r="A70" s="107">
        <v>215</v>
      </c>
      <c r="B70" s="107" t="s">
        <v>70</v>
      </c>
      <c r="C70" s="107"/>
      <c r="D70" s="109">
        <v>0</v>
      </c>
      <c r="E70" s="107">
        <v>0</v>
      </c>
      <c r="F70" s="107">
        <v>100</v>
      </c>
      <c r="G70" s="107">
        <v>89</v>
      </c>
      <c r="H70" s="107">
        <v>58</v>
      </c>
      <c r="I70" s="107">
        <v>92</v>
      </c>
      <c r="J70" s="110">
        <v>48</v>
      </c>
      <c r="K70" s="111">
        <f t="shared" si="1"/>
        <v>0.78881018181818163</v>
      </c>
      <c r="L70" s="111">
        <f t="shared" si="3"/>
        <v>0.40761579256930103</v>
      </c>
      <c r="M70" s="111">
        <f t="shared" si="2"/>
        <v>0.1609056907149562</v>
      </c>
      <c r="N70" s="107">
        <v>10</v>
      </c>
      <c r="O70" s="107">
        <v>70</v>
      </c>
      <c r="P70" s="107">
        <v>0</v>
      </c>
      <c r="Q70" s="107">
        <v>2.29</v>
      </c>
      <c r="R70" s="107">
        <v>0.23</v>
      </c>
      <c r="S70" s="107">
        <v>0.27</v>
      </c>
      <c r="T70" s="107">
        <v>2.42</v>
      </c>
      <c r="U70" s="107">
        <v>0.06</v>
      </c>
      <c r="V70" s="107">
        <v>0</v>
      </c>
      <c r="W70" s="107">
        <v>0</v>
      </c>
      <c r="X70" s="107">
        <v>2.8</v>
      </c>
      <c r="Y70" s="107">
        <v>0</v>
      </c>
      <c r="Z70" s="107">
        <v>290</v>
      </c>
      <c r="AA70" s="107">
        <v>24.8</v>
      </c>
      <c r="AB70" s="107">
        <v>0.55000000000000004</v>
      </c>
      <c r="AC70" s="107">
        <v>26.6</v>
      </c>
      <c r="AD70" s="107">
        <v>0</v>
      </c>
      <c r="AE70" s="107">
        <v>1</v>
      </c>
      <c r="AF70" s="107">
        <v>0</v>
      </c>
      <c r="AG70" s="112"/>
      <c r="AH70" s="112"/>
    </row>
    <row r="71" spans="1:34" ht="13.5" thickBot="1">
      <c r="A71" s="107">
        <v>216</v>
      </c>
      <c r="B71" s="107" t="s">
        <v>72</v>
      </c>
      <c r="C71" s="107" t="s">
        <v>71</v>
      </c>
      <c r="D71" s="109">
        <v>0</v>
      </c>
      <c r="E71" s="107">
        <v>0</v>
      </c>
      <c r="F71" s="107">
        <v>100</v>
      </c>
      <c r="G71" s="107">
        <v>90</v>
      </c>
      <c r="H71" s="107">
        <v>55.4</v>
      </c>
      <c r="I71" s="107">
        <v>6</v>
      </c>
      <c r="J71" s="110">
        <v>59</v>
      </c>
      <c r="K71" s="111">
        <f t="shared" ref="K71:K130" si="4">(J71*0.01*4.409*0.82)/2.2</f>
        <v>0.9695791818181817</v>
      </c>
      <c r="L71" s="111">
        <f t="shared" si="3"/>
        <v>0.58014483325143029</v>
      </c>
      <c r="M71" s="111">
        <f t="shared" ref="M71:M130" si="5">IF(J71=0,0,(1.42*(J71*0.01*4.409*0.82)-0.174*(J71*0.01*4.409*0.82)^2+0.0122*(J71*0.01*4.409*0.82)^3-1.65)/2.2)</f>
        <v>0.32075976938720335</v>
      </c>
      <c r="N71" s="107">
        <v>17.3</v>
      </c>
      <c r="O71" s="107">
        <v>54</v>
      </c>
      <c r="P71" s="107">
        <v>2.4</v>
      </c>
      <c r="Q71" s="107">
        <v>1.38</v>
      </c>
      <c r="R71" s="107">
        <v>0.25</v>
      </c>
      <c r="S71" s="107">
        <v>0.28999999999999998</v>
      </c>
      <c r="T71" s="107">
        <v>2.46</v>
      </c>
      <c r="U71" s="107">
        <v>0.08</v>
      </c>
      <c r="V71" s="107">
        <v>0.21</v>
      </c>
      <c r="W71" s="107">
        <v>0.19</v>
      </c>
      <c r="X71" s="107">
        <v>10.5</v>
      </c>
      <c r="Y71" s="107">
        <v>0.13</v>
      </c>
      <c r="Z71" s="107">
        <v>309</v>
      </c>
      <c r="AA71" s="107">
        <v>31</v>
      </c>
      <c r="AB71" s="107">
        <v>0.31</v>
      </c>
      <c r="AC71" s="107">
        <v>21</v>
      </c>
      <c r="AD71" s="107">
        <v>33</v>
      </c>
      <c r="AE71" s="107">
        <v>0</v>
      </c>
      <c r="AF71" s="107">
        <v>91</v>
      </c>
      <c r="AG71" s="112"/>
      <c r="AH71" s="112"/>
    </row>
    <row r="72" spans="1:34" ht="13.5" thickBot="1">
      <c r="A72" s="107">
        <v>217</v>
      </c>
      <c r="B72" s="107" t="s">
        <v>74</v>
      </c>
      <c r="C72" s="107" t="s">
        <v>73</v>
      </c>
      <c r="D72" s="109">
        <v>0</v>
      </c>
      <c r="E72" s="107">
        <v>0</v>
      </c>
      <c r="F72" s="107">
        <v>100</v>
      </c>
      <c r="G72" s="107">
        <v>35</v>
      </c>
      <c r="H72" s="107">
        <v>43</v>
      </c>
      <c r="I72" s="107">
        <v>82</v>
      </c>
      <c r="J72" s="110">
        <v>63</v>
      </c>
      <c r="K72" s="111">
        <f t="shared" si="4"/>
        <v>1.0353133636363634</v>
      </c>
      <c r="L72" s="111">
        <f t="shared" si="3"/>
        <v>0.64026376140279062</v>
      </c>
      <c r="M72" s="111">
        <f t="shared" si="5"/>
        <v>0.37535875599303037</v>
      </c>
      <c r="N72" s="107">
        <v>19.5</v>
      </c>
      <c r="O72" s="107">
        <v>92</v>
      </c>
      <c r="P72" s="107">
        <v>3.7</v>
      </c>
      <c r="Q72" s="107">
        <v>1.32</v>
      </c>
      <c r="R72" s="107">
        <v>0.31</v>
      </c>
      <c r="S72" s="107">
        <v>0.26</v>
      </c>
      <c r="T72" s="107">
        <v>2.85</v>
      </c>
      <c r="U72" s="107">
        <v>0.02</v>
      </c>
      <c r="V72" s="107">
        <v>0.28000000000000003</v>
      </c>
      <c r="W72" s="107">
        <v>0.65</v>
      </c>
      <c r="X72" s="107">
        <v>12.1</v>
      </c>
      <c r="Y72" s="107">
        <v>0.16</v>
      </c>
      <c r="Z72" s="107">
        <v>252</v>
      </c>
      <c r="AA72" s="107">
        <v>32.4</v>
      </c>
      <c r="AB72" s="107">
        <v>0.18</v>
      </c>
      <c r="AC72" s="107">
        <v>19.5</v>
      </c>
      <c r="AD72" s="107">
        <v>155</v>
      </c>
      <c r="AE72" s="107">
        <v>0</v>
      </c>
      <c r="AF72" s="107">
        <v>0</v>
      </c>
      <c r="AG72" s="112"/>
      <c r="AH72" s="112"/>
    </row>
    <row r="73" spans="1:34" ht="13.5" thickBot="1">
      <c r="A73" s="107">
        <v>218</v>
      </c>
      <c r="B73" s="107" t="s">
        <v>76</v>
      </c>
      <c r="C73" s="107" t="s">
        <v>75</v>
      </c>
      <c r="D73" s="109">
        <v>0</v>
      </c>
      <c r="E73" s="107">
        <v>0</v>
      </c>
      <c r="F73" s="107">
        <v>100</v>
      </c>
      <c r="G73" s="107">
        <v>38</v>
      </c>
      <c r="H73" s="107">
        <v>47</v>
      </c>
      <c r="I73" s="107">
        <v>82</v>
      </c>
      <c r="J73" s="110">
        <v>58</v>
      </c>
      <c r="K73" s="111">
        <f t="shared" si="4"/>
        <v>0.95314563636363614</v>
      </c>
      <c r="L73" s="111">
        <f t="shared" si="3"/>
        <v>0.56490813627205272</v>
      </c>
      <c r="M73" s="111">
        <f t="shared" si="5"/>
        <v>0.30682897824387234</v>
      </c>
      <c r="N73" s="107">
        <v>17</v>
      </c>
      <c r="O73" s="107">
        <v>91</v>
      </c>
      <c r="P73" s="107">
        <v>3.1</v>
      </c>
      <c r="Q73" s="107">
        <v>1.74</v>
      </c>
      <c r="R73" s="107">
        <v>0.27</v>
      </c>
      <c r="S73" s="107">
        <v>0.33</v>
      </c>
      <c r="T73" s="107">
        <v>2.35</v>
      </c>
      <c r="U73" s="107">
        <v>0.16</v>
      </c>
      <c r="V73" s="107">
        <v>0.31</v>
      </c>
      <c r="W73" s="107">
        <v>0</v>
      </c>
      <c r="X73" s="107">
        <v>11.1</v>
      </c>
      <c r="Y73" s="107">
        <v>0</v>
      </c>
      <c r="Z73" s="107">
        <v>280</v>
      </c>
      <c r="AA73" s="107">
        <v>49.7</v>
      </c>
      <c r="AB73" s="107">
        <v>0</v>
      </c>
      <c r="AC73" s="107">
        <v>40.700000000000003</v>
      </c>
      <c r="AD73" s="107">
        <v>155</v>
      </c>
      <c r="AE73" s="107">
        <v>0</v>
      </c>
      <c r="AF73" s="107">
        <v>0</v>
      </c>
      <c r="AG73" s="112"/>
      <c r="AH73" s="112"/>
    </row>
    <row r="74" spans="1:34" ht="13.5" thickBot="1">
      <c r="A74" s="107">
        <v>219</v>
      </c>
      <c r="B74" s="107" t="s">
        <v>78</v>
      </c>
      <c r="C74" s="107" t="s">
        <v>77</v>
      </c>
      <c r="D74" s="109">
        <v>0</v>
      </c>
      <c r="E74" s="107">
        <v>0</v>
      </c>
      <c r="F74" s="107">
        <v>100</v>
      </c>
      <c r="G74" s="107">
        <v>40</v>
      </c>
      <c r="H74" s="107">
        <v>51</v>
      </c>
      <c r="I74" s="107">
        <v>82</v>
      </c>
      <c r="J74" s="110">
        <v>55</v>
      </c>
      <c r="K74" s="111">
        <f t="shared" si="4"/>
        <v>0.90384499999999979</v>
      </c>
      <c r="L74" s="111">
        <f t="shared" si="3"/>
        <v>0.51867967739014842</v>
      </c>
      <c r="M74" s="111">
        <f t="shared" si="5"/>
        <v>0.26433694037378042</v>
      </c>
      <c r="N74" s="107">
        <v>16</v>
      </c>
      <c r="O74" s="107">
        <v>91</v>
      </c>
      <c r="P74" s="107">
        <v>2.7</v>
      </c>
      <c r="Q74" s="107">
        <v>1.74</v>
      </c>
      <c r="R74" s="107">
        <v>0.27</v>
      </c>
      <c r="S74" s="107">
        <v>0.33</v>
      </c>
      <c r="T74" s="107">
        <v>2.35</v>
      </c>
      <c r="U74" s="107">
        <v>0.16</v>
      </c>
      <c r="V74" s="107">
        <v>0.31</v>
      </c>
      <c r="W74" s="107">
        <v>0</v>
      </c>
      <c r="X74" s="107">
        <v>11.1</v>
      </c>
      <c r="Y74" s="107">
        <v>0</v>
      </c>
      <c r="Z74" s="107">
        <v>280</v>
      </c>
      <c r="AA74" s="107">
        <v>49.7</v>
      </c>
      <c r="AB74" s="107">
        <v>0</v>
      </c>
      <c r="AC74" s="107">
        <v>40.700000000000003</v>
      </c>
      <c r="AD74" s="107">
        <v>155</v>
      </c>
      <c r="AE74" s="107">
        <v>0</v>
      </c>
      <c r="AF74" s="107">
        <v>0</v>
      </c>
      <c r="AG74" s="112"/>
      <c r="AH74" s="112"/>
    </row>
    <row r="75" spans="1:34" ht="13.5" thickBot="1">
      <c r="A75" s="107">
        <v>220</v>
      </c>
      <c r="B75" s="107" t="s">
        <v>80</v>
      </c>
      <c r="C75" s="107" t="s">
        <v>79</v>
      </c>
      <c r="D75" s="109">
        <v>0</v>
      </c>
      <c r="E75" s="107">
        <v>0</v>
      </c>
      <c r="F75" s="107">
        <v>100</v>
      </c>
      <c r="G75" s="107">
        <v>91</v>
      </c>
      <c r="H75" s="107">
        <v>47.5</v>
      </c>
      <c r="I75" s="107">
        <v>92</v>
      </c>
      <c r="J75" s="110">
        <v>59</v>
      </c>
      <c r="K75" s="111">
        <f t="shared" si="4"/>
        <v>0.9695791818181817</v>
      </c>
      <c r="L75" s="111">
        <f t="shared" si="3"/>
        <v>0.58014483325143029</v>
      </c>
      <c r="M75" s="111">
        <f t="shared" si="5"/>
        <v>0.32075976938720335</v>
      </c>
      <c r="N75" s="107">
        <v>15.9</v>
      </c>
      <c r="O75" s="107">
        <v>82</v>
      </c>
      <c r="P75" s="107">
        <v>2.1</v>
      </c>
      <c r="Q75" s="107">
        <v>1.7</v>
      </c>
      <c r="R75" s="107">
        <v>0.23</v>
      </c>
      <c r="S75" s="107">
        <v>0.51</v>
      </c>
      <c r="T75" s="107">
        <v>1.92</v>
      </c>
      <c r="U75" s="107">
        <v>7.0000000000000007E-2</v>
      </c>
      <c r="V75" s="107">
        <v>0.25</v>
      </c>
      <c r="W75" s="107">
        <v>0.111</v>
      </c>
      <c r="X75" s="107">
        <v>9.26</v>
      </c>
      <c r="Y75" s="107">
        <v>0</v>
      </c>
      <c r="Z75" s="107">
        <v>227</v>
      </c>
      <c r="AA75" s="107">
        <v>29</v>
      </c>
      <c r="AB75" s="107">
        <v>0</v>
      </c>
      <c r="AC75" s="107">
        <v>77</v>
      </c>
      <c r="AD75" s="107">
        <v>75</v>
      </c>
      <c r="AE75" s="107">
        <v>1.5</v>
      </c>
      <c r="AF75" s="107">
        <v>0</v>
      </c>
      <c r="AG75" s="112"/>
      <c r="AH75" s="112"/>
    </row>
    <row r="76" spans="1:34" ht="13.5" thickBot="1">
      <c r="A76" s="107">
        <v>221</v>
      </c>
      <c r="B76" s="107" t="s">
        <v>82</v>
      </c>
      <c r="C76" s="107" t="s">
        <v>81</v>
      </c>
      <c r="D76" s="109">
        <v>0</v>
      </c>
      <c r="E76" s="107">
        <v>0</v>
      </c>
      <c r="F76" s="107">
        <v>100</v>
      </c>
      <c r="G76" s="107">
        <v>89</v>
      </c>
      <c r="H76" s="107">
        <v>36</v>
      </c>
      <c r="I76" s="107">
        <v>92</v>
      </c>
      <c r="J76" s="110">
        <v>60</v>
      </c>
      <c r="K76" s="111">
        <f t="shared" si="4"/>
        <v>0.98601272727272715</v>
      </c>
      <c r="L76" s="111">
        <f t="shared" si="3"/>
        <v>0.59529739099893775</v>
      </c>
      <c r="M76" s="111">
        <f t="shared" si="5"/>
        <v>0.33457657038005989</v>
      </c>
      <c r="N76" s="107">
        <v>22.4</v>
      </c>
      <c r="O76" s="107">
        <v>86</v>
      </c>
      <c r="P76" s="107">
        <v>2.7</v>
      </c>
      <c r="Q76" s="107">
        <v>1.45</v>
      </c>
      <c r="R76" s="107">
        <v>0.33</v>
      </c>
      <c r="S76" s="107">
        <v>0.47</v>
      </c>
      <c r="T76" s="107">
        <v>2.44</v>
      </c>
      <c r="U76" s="107">
        <v>0.13</v>
      </c>
      <c r="V76" s="107">
        <v>0.21</v>
      </c>
      <c r="W76" s="107">
        <v>0.161</v>
      </c>
      <c r="X76" s="107">
        <v>9.41</v>
      </c>
      <c r="Y76" s="107">
        <v>0.30099999999999999</v>
      </c>
      <c r="Z76" s="107">
        <v>470</v>
      </c>
      <c r="AA76" s="107">
        <v>123</v>
      </c>
      <c r="AB76" s="107">
        <v>0</v>
      </c>
      <c r="AC76" s="107">
        <v>17</v>
      </c>
      <c r="AD76" s="107">
        <v>33</v>
      </c>
      <c r="AE76" s="107">
        <v>0</v>
      </c>
      <c r="AF76" s="107">
        <v>0</v>
      </c>
      <c r="AG76" s="112"/>
      <c r="AH76" s="112"/>
    </row>
    <row r="77" spans="1:34" ht="13.5" thickBot="1">
      <c r="A77" s="107">
        <v>222</v>
      </c>
      <c r="B77" s="107" t="s">
        <v>84</v>
      </c>
      <c r="C77" s="107" t="s">
        <v>83</v>
      </c>
      <c r="D77" s="109">
        <v>0</v>
      </c>
      <c r="E77" s="107">
        <v>0</v>
      </c>
      <c r="F77" s="107">
        <v>100</v>
      </c>
      <c r="G77" s="107">
        <v>88</v>
      </c>
      <c r="H77" s="107">
        <v>46.9</v>
      </c>
      <c r="I77" s="107">
        <v>92</v>
      </c>
      <c r="J77" s="110">
        <v>55</v>
      </c>
      <c r="K77" s="111">
        <f t="shared" si="4"/>
        <v>0.90384499999999979</v>
      </c>
      <c r="L77" s="111">
        <f t="shared" si="3"/>
        <v>0.51867967739014842</v>
      </c>
      <c r="M77" s="111">
        <f t="shared" si="5"/>
        <v>0.26433694037378042</v>
      </c>
      <c r="N77" s="107">
        <v>15</v>
      </c>
      <c r="O77" s="107">
        <v>80</v>
      </c>
      <c r="P77" s="107">
        <v>2.8</v>
      </c>
      <c r="Q77" s="107">
        <v>1.38</v>
      </c>
      <c r="R77" s="107">
        <v>0.24</v>
      </c>
      <c r="S77" s="107">
        <v>0.38</v>
      </c>
      <c r="T77" s="107">
        <v>1.81</v>
      </c>
      <c r="U77" s="107">
        <v>0.18</v>
      </c>
      <c r="V77" s="107">
        <v>0.16</v>
      </c>
      <c r="W77" s="107">
        <v>0.156</v>
      </c>
      <c r="X77" s="107">
        <v>11</v>
      </c>
      <c r="Y77" s="107">
        <v>0.245</v>
      </c>
      <c r="Z77" s="107">
        <v>238</v>
      </c>
      <c r="AA77" s="107">
        <v>108</v>
      </c>
      <c r="AB77" s="107">
        <v>0</v>
      </c>
      <c r="AC77" s="107">
        <v>17</v>
      </c>
      <c r="AD77" s="107">
        <v>8</v>
      </c>
      <c r="AE77" s="107">
        <v>1.9</v>
      </c>
      <c r="AF77" s="107">
        <v>0</v>
      </c>
      <c r="AG77" s="112"/>
      <c r="AH77" s="112"/>
    </row>
    <row r="78" spans="1:34" ht="13.5" thickBot="1">
      <c r="A78" s="107">
        <v>223</v>
      </c>
      <c r="B78" s="107" t="s">
        <v>86</v>
      </c>
      <c r="C78" s="107" t="s">
        <v>85</v>
      </c>
      <c r="D78" s="109">
        <v>0</v>
      </c>
      <c r="E78" s="107">
        <v>0</v>
      </c>
      <c r="F78" s="107">
        <v>100</v>
      </c>
      <c r="G78" s="107">
        <v>89</v>
      </c>
      <c r="H78" s="107">
        <v>48</v>
      </c>
      <c r="I78" s="107">
        <v>92</v>
      </c>
      <c r="J78" s="110">
        <v>57</v>
      </c>
      <c r="K78" s="111">
        <f t="shared" si="4"/>
        <v>0.9367120909090908</v>
      </c>
      <c r="L78" s="111">
        <f t="shared" si="3"/>
        <v>0.54958594680555017</v>
      </c>
      <c r="M78" s="111">
        <f t="shared" si="5"/>
        <v>0.29278262459634141</v>
      </c>
      <c r="N78" s="107">
        <v>20.8</v>
      </c>
      <c r="O78" s="107">
        <v>86</v>
      </c>
      <c r="P78" s="107">
        <v>3</v>
      </c>
      <c r="Q78" s="107">
        <v>1.36</v>
      </c>
      <c r="R78" s="107">
        <v>0.34</v>
      </c>
      <c r="S78" s="107">
        <v>0.27</v>
      </c>
      <c r="T78" s="107">
        <v>2.12</v>
      </c>
      <c r="U78" s="107">
        <v>0.52</v>
      </c>
      <c r="V78" s="107">
        <v>0.15</v>
      </c>
      <c r="W78" s="107">
        <v>0.33500000000000002</v>
      </c>
      <c r="X78" s="107">
        <v>9.9</v>
      </c>
      <c r="Y78" s="107">
        <v>0.49199999999999999</v>
      </c>
      <c r="Z78" s="107">
        <v>490</v>
      </c>
      <c r="AA78" s="107">
        <v>60.8</v>
      </c>
      <c r="AB78" s="107">
        <v>0</v>
      </c>
      <c r="AC78" s="107">
        <v>0</v>
      </c>
      <c r="AD78" s="107">
        <v>0</v>
      </c>
      <c r="AE78" s="107">
        <v>0</v>
      </c>
      <c r="AF78" s="107">
        <v>0</v>
      </c>
      <c r="AG78" s="112"/>
      <c r="AH78" s="112"/>
    </row>
    <row r="79" spans="1:34" ht="13.5" thickBot="1">
      <c r="A79" s="107">
        <v>224</v>
      </c>
      <c r="B79" s="116" t="s">
        <v>48</v>
      </c>
      <c r="C79" s="116"/>
      <c r="D79" s="109">
        <v>0</v>
      </c>
      <c r="E79" s="116">
        <v>100</v>
      </c>
      <c r="F79" s="116">
        <v>0</v>
      </c>
      <c r="G79" s="116">
        <v>100</v>
      </c>
      <c r="H79" s="116">
        <v>0</v>
      </c>
      <c r="I79" s="116">
        <v>0</v>
      </c>
      <c r="J79" s="119">
        <v>0</v>
      </c>
      <c r="K79" s="111">
        <f t="shared" si="4"/>
        <v>0</v>
      </c>
      <c r="L79" s="111">
        <f t="shared" si="3"/>
        <v>0</v>
      </c>
      <c r="M79" s="111">
        <f t="shared" si="5"/>
        <v>0</v>
      </c>
      <c r="N79" s="116">
        <v>0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0</v>
      </c>
      <c r="X79" s="116">
        <v>0</v>
      </c>
      <c r="Y79" s="116">
        <v>0</v>
      </c>
      <c r="Z79" s="116">
        <v>0</v>
      </c>
      <c r="AA79" s="116">
        <v>0</v>
      </c>
      <c r="AB79" s="116">
        <v>0</v>
      </c>
      <c r="AC79" s="116">
        <v>0</v>
      </c>
      <c r="AD79" s="116">
        <v>0</v>
      </c>
      <c r="AE79" s="116">
        <v>0</v>
      </c>
      <c r="AF79" s="116">
        <v>0</v>
      </c>
      <c r="AG79" s="120"/>
      <c r="AH79" s="120"/>
    </row>
    <row r="80" spans="1:34" ht="13.5" thickBot="1">
      <c r="A80" s="107">
        <v>225</v>
      </c>
      <c r="B80" s="116" t="s">
        <v>48</v>
      </c>
      <c r="C80" s="116"/>
      <c r="D80" s="109">
        <v>0</v>
      </c>
      <c r="E80" s="116">
        <v>100</v>
      </c>
      <c r="F80" s="116">
        <v>0</v>
      </c>
      <c r="G80" s="116">
        <v>100</v>
      </c>
      <c r="H80" s="116">
        <v>0</v>
      </c>
      <c r="I80" s="116">
        <v>0</v>
      </c>
      <c r="J80" s="119">
        <v>0</v>
      </c>
      <c r="K80" s="111">
        <f t="shared" si="4"/>
        <v>0</v>
      </c>
      <c r="L80" s="111">
        <f t="shared" si="3"/>
        <v>0</v>
      </c>
      <c r="M80" s="111">
        <f t="shared" si="5"/>
        <v>0</v>
      </c>
      <c r="N80" s="116">
        <v>0</v>
      </c>
      <c r="O80" s="116">
        <v>0</v>
      </c>
      <c r="P80" s="116">
        <v>0</v>
      </c>
      <c r="Q80" s="116">
        <v>0</v>
      </c>
      <c r="R80" s="116"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v>0</v>
      </c>
      <c r="X80" s="116">
        <v>0</v>
      </c>
      <c r="Y80" s="116">
        <v>0</v>
      </c>
      <c r="Z80" s="116">
        <v>0</v>
      </c>
      <c r="AA80" s="116">
        <v>0</v>
      </c>
      <c r="AB80" s="116">
        <v>0</v>
      </c>
      <c r="AC80" s="116">
        <v>0</v>
      </c>
      <c r="AD80" s="116">
        <v>0</v>
      </c>
      <c r="AE80" s="116">
        <v>0</v>
      </c>
      <c r="AF80" s="116">
        <v>0</v>
      </c>
      <c r="AG80" s="120"/>
      <c r="AH80" s="120"/>
    </row>
    <row r="81" spans="1:34" ht="13.5" thickBot="1">
      <c r="A81" s="107">
        <v>226</v>
      </c>
      <c r="B81" s="116" t="s">
        <v>48</v>
      </c>
      <c r="C81" s="116"/>
      <c r="D81" s="109">
        <v>0</v>
      </c>
      <c r="E81" s="116">
        <v>100</v>
      </c>
      <c r="F81" s="116">
        <v>0</v>
      </c>
      <c r="G81" s="116">
        <v>100</v>
      </c>
      <c r="H81" s="116">
        <v>0</v>
      </c>
      <c r="I81" s="116">
        <v>0</v>
      </c>
      <c r="J81" s="119">
        <v>0</v>
      </c>
      <c r="K81" s="111">
        <f t="shared" si="4"/>
        <v>0</v>
      </c>
      <c r="L81" s="111">
        <f t="shared" si="3"/>
        <v>0</v>
      </c>
      <c r="M81" s="111">
        <f t="shared" si="5"/>
        <v>0</v>
      </c>
      <c r="N81" s="116">
        <v>0</v>
      </c>
      <c r="O81" s="116">
        <v>0</v>
      </c>
      <c r="P81" s="116">
        <v>0</v>
      </c>
      <c r="Q81" s="116">
        <v>0</v>
      </c>
      <c r="R81" s="116">
        <v>0</v>
      </c>
      <c r="S81" s="116">
        <v>0</v>
      </c>
      <c r="T81" s="116">
        <v>0</v>
      </c>
      <c r="U81" s="116">
        <v>0</v>
      </c>
      <c r="V81" s="116">
        <v>0</v>
      </c>
      <c r="W81" s="116">
        <v>0</v>
      </c>
      <c r="X81" s="116">
        <v>0</v>
      </c>
      <c r="Y81" s="116">
        <v>0</v>
      </c>
      <c r="Z81" s="116">
        <v>0</v>
      </c>
      <c r="AA81" s="116">
        <v>0</v>
      </c>
      <c r="AB81" s="116">
        <v>0</v>
      </c>
      <c r="AC81" s="116">
        <v>0</v>
      </c>
      <c r="AD81" s="116">
        <v>0</v>
      </c>
      <c r="AE81" s="116">
        <v>0</v>
      </c>
      <c r="AF81" s="116">
        <v>0</v>
      </c>
      <c r="AG81" s="120"/>
      <c r="AH81" s="120"/>
    </row>
    <row r="82" spans="1:34" ht="13.5" thickBot="1">
      <c r="A82" s="107">
        <v>227</v>
      </c>
      <c r="B82" s="116" t="s">
        <v>48</v>
      </c>
      <c r="C82" s="116"/>
      <c r="D82" s="109">
        <v>0</v>
      </c>
      <c r="E82" s="116">
        <v>100</v>
      </c>
      <c r="F82" s="116">
        <v>0</v>
      </c>
      <c r="G82" s="116">
        <v>100</v>
      </c>
      <c r="H82" s="116">
        <v>0</v>
      </c>
      <c r="I82" s="116">
        <v>0</v>
      </c>
      <c r="J82" s="119">
        <v>0</v>
      </c>
      <c r="K82" s="111">
        <f t="shared" si="4"/>
        <v>0</v>
      </c>
      <c r="L82" s="111">
        <f t="shared" si="3"/>
        <v>0</v>
      </c>
      <c r="M82" s="111">
        <f t="shared" si="5"/>
        <v>0</v>
      </c>
      <c r="N82" s="116">
        <v>0</v>
      </c>
      <c r="O82" s="116">
        <v>0</v>
      </c>
      <c r="P82" s="116">
        <v>0</v>
      </c>
      <c r="Q82" s="116">
        <v>0</v>
      </c>
      <c r="R82" s="116">
        <v>0</v>
      </c>
      <c r="S82" s="116">
        <v>0</v>
      </c>
      <c r="T82" s="116">
        <v>0</v>
      </c>
      <c r="U82" s="116">
        <v>0</v>
      </c>
      <c r="V82" s="116">
        <v>0</v>
      </c>
      <c r="W82" s="116">
        <v>0</v>
      </c>
      <c r="X82" s="116">
        <v>0</v>
      </c>
      <c r="Y82" s="116">
        <v>0</v>
      </c>
      <c r="Z82" s="116">
        <v>0</v>
      </c>
      <c r="AA82" s="116">
        <v>0</v>
      </c>
      <c r="AB82" s="116">
        <v>0</v>
      </c>
      <c r="AC82" s="116">
        <v>0</v>
      </c>
      <c r="AD82" s="116">
        <v>0</v>
      </c>
      <c r="AE82" s="116">
        <v>0</v>
      </c>
      <c r="AF82" s="116">
        <v>0</v>
      </c>
      <c r="AG82" s="120"/>
      <c r="AH82" s="120"/>
    </row>
    <row r="83" spans="1:34" ht="13.5" thickBot="1">
      <c r="A83" s="107">
        <v>228</v>
      </c>
      <c r="B83" s="116" t="s">
        <v>48</v>
      </c>
      <c r="C83" s="116"/>
      <c r="D83" s="109">
        <v>0</v>
      </c>
      <c r="E83" s="116">
        <v>100</v>
      </c>
      <c r="F83" s="116">
        <v>0</v>
      </c>
      <c r="G83" s="116">
        <v>100</v>
      </c>
      <c r="H83" s="116">
        <v>0</v>
      </c>
      <c r="I83" s="116">
        <v>0</v>
      </c>
      <c r="J83" s="119">
        <v>0</v>
      </c>
      <c r="K83" s="111">
        <f t="shared" si="4"/>
        <v>0</v>
      </c>
      <c r="L83" s="111">
        <f t="shared" si="3"/>
        <v>0</v>
      </c>
      <c r="M83" s="111">
        <f t="shared" si="5"/>
        <v>0</v>
      </c>
      <c r="N83" s="116">
        <v>0</v>
      </c>
      <c r="O83" s="116">
        <v>0</v>
      </c>
      <c r="P83" s="116">
        <v>0</v>
      </c>
      <c r="Q83" s="116">
        <v>0</v>
      </c>
      <c r="R83" s="116">
        <v>0</v>
      </c>
      <c r="S83" s="116">
        <v>0</v>
      </c>
      <c r="T83" s="116">
        <v>0</v>
      </c>
      <c r="U83" s="116">
        <v>0</v>
      </c>
      <c r="V83" s="116">
        <v>0</v>
      </c>
      <c r="W83" s="116">
        <v>0</v>
      </c>
      <c r="X83" s="116">
        <v>0</v>
      </c>
      <c r="Y83" s="116">
        <v>0</v>
      </c>
      <c r="Z83" s="116">
        <v>0</v>
      </c>
      <c r="AA83" s="116">
        <v>0</v>
      </c>
      <c r="AB83" s="116">
        <v>0</v>
      </c>
      <c r="AC83" s="116">
        <v>0</v>
      </c>
      <c r="AD83" s="116">
        <v>0</v>
      </c>
      <c r="AE83" s="116">
        <v>0</v>
      </c>
      <c r="AF83" s="116">
        <v>0</v>
      </c>
      <c r="AG83" s="120"/>
      <c r="AH83" s="120"/>
    </row>
    <row r="84" spans="1:34" ht="13.5" thickBot="1">
      <c r="A84" s="107">
        <v>229</v>
      </c>
      <c r="B84" s="116" t="s">
        <v>48</v>
      </c>
      <c r="C84" s="116"/>
      <c r="D84" s="109">
        <v>0</v>
      </c>
      <c r="E84" s="116">
        <v>100</v>
      </c>
      <c r="F84" s="116">
        <v>0</v>
      </c>
      <c r="G84" s="116">
        <v>100</v>
      </c>
      <c r="H84" s="116">
        <v>0</v>
      </c>
      <c r="I84" s="116">
        <v>0</v>
      </c>
      <c r="J84" s="119">
        <v>0</v>
      </c>
      <c r="K84" s="111">
        <f t="shared" si="4"/>
        <v>0</v>
      </c>
      <c r="L84" s="111">
        <f t="shared" si="3"/>
        <v>0</v>
      </c>
      <c r="M84" s="111">
        <f t="shared" si="5"/>
        <v>0</v>
      </c>
      <c r="N84" s="116">
        <v>0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116">
        <v>0</v>
      </c>
      <c r="U84" s="116">
        <v>0</v>
      </c>
      <c r="V84" s="116">
        <v>0</v>
      </c>
      <c r="W84" s="116">
        <v>0</v>
      </c>
      <c r="X84" s="116">
        <v>0</v>
      </c>
      <c r="Y84" s="116">
        <v>0</v>
      </c>
      <c r="Z84" s="116">
        <v>0</v>
      </c>
      <c r="AA84" s="116">
        <v>0</v>
      </c>
      <c r="AB84" s="116">
        <v>0</v>
      </c>
      <c r="AC84" s="116">
        <v>0</v>
      </c>
      <c r="AD84" s="116">
        <v>0</v>
      </c>
      <c r="AE84" s="116">
        <v>0</v>
      </c>
      <c r="AF84" s="116">
        <v>0</v>
      </c>
      <c r="AG84" s="120"/>
      <c r="AH84" s="120"/>
    </row>
    <row r="85" spans="1:34" ht="13.5" thickBot="1">
      <c r="A85" s="107">
        <v>230</v>
      </c>
      <c r="B85" s="107" t="s">
        <v>87</v>
      </c>
      <c r="C85" s="107"/>
      <c r="D85" s="109">
        <v>0</v>
      </c>
      <c r="E85" s="107">
        <v>0</v>
      </c>
      <c r="F85" s="107">
        <v>100</v>
      </c>
      <c r="G85" s="107">
        <v>20</v>
      </c>
      <c r="H85" s="107">
        <v>33</v>
      </c>
      <c r="I85" s="107">
        <v>41</v>
      </c>
      <c r="J85" s="110">
        <v>79</v>
      </c>
      <c r="K85" s="111">
        <f t="shared" si="4"/>
        <v>1.2982500909090906</v>
      </c>
      <c r="L85" s="111">
        <f t="shared" si="3"/>
        <v>0.86900936363553549</v>
      </c>
      <c r="M85" s="111">
        <f t="shared" si="5"/>
        <v>0.57752889110833361</v>
      </c>
      <c r="N85" s="107">
        <v>28</v>
      </c>
      <c r="O85" s="107">
        <v>95</v>
      </c>
      <c r="P85" s="107">
        <v>2.7</v>
      </c>
      <c r="Q85" s="107">
        <v>1.71</v>
      </c>
      <c r="R85" s="107">
        <v>0.3</v>
      </c>
      <c r="S85" s="107">
        <v>0.36</v>
      </c>
      <c r="T85" s="107">
        <v>2.27</v>
      </c>
      <c r="U85" s="107">
        <v>0.21</v>
      </c>
      <c r="V85" s="107">
        <v>0.36</v>
      </c>
      <c r="W85" s="107">
        <v>0.17</v>
      </c>
      <c r="X85" s="107">
        <v>10.7</v>
      </c>
      <c r="Y85" s="107">
        <v>0</v>
      </c>
      <c r="Z85" s="107">
        <v>111</v>
      </c>
      <c r="AA85" s="107">
        <v>41</v>
      </c>
      <c r="AB85" s="107">
        <v>0.55000000000000004</v>
      </c>
      <c r="AC85" s="107">
        <v>30</v>
      </c>
      <c r="AD85" s="107">
        <v>253</v>
      </c>
      <c r="AE85" s="107">
        <v>2</v>
      </c>
      <c r="AF85" s="107">
        <v>26</v>
      </c>
      <c r="AG85" s="112"/>
      <c r="AH85" s="112"/>
    </row>
    <row r="86" spans="1:34" ht="13.5" thickBot="1">
      <c r="A86" s="107">
        <v>231</v>
      </c>
      <c r="B86" s="107" t="s">
        <v>89</v>
      </c>
      <c r="C86" s="107" t="s">
        <v>88</v>
      </c>
      <c r="D86" s="109">
        <v>0</v>
      </c>
      <c r="E86" s="107">
        <v>0</v>
      </c>
      <c r="F86" s="107">
        <v>100</v>
      </c>
      <c r="G86" s="107">
        <v>23.2</v>
      </c>
      <c r="H86" s="107">
        <v>38</v>
      </c>
      <c r="I86" s="107">
        <v>41</v>
      </c>
      <c r="J86" s="110">
        <v>66</v>
      </c>
      <c r="K86" s="111">
        <f t="shared" si="4"/>
        <v>1.084614</v>
      </c>
      <c r="L86" s="111">
        <f t="shared" si="3"/>
        <v>0.68452159590899575</v>
      </c>
      <c r="M86" s="111">
        <f t="shared" si="5"/>
        <v>0.41517163498582677</v>
      </c>
      <c r="N86" s="107">
        <v>22.2</v>
      </c>
      <c r="O86" s="107">
        <v>94</v>
      </c>
      <c r="P86" s="107">
        <v>2.9</v>
      </c>
      <c r="Q86" s="107">
        <v>1.71</v>
      </c>
      <c r="R86" s="107">
        <v>0.3</v>
      </c>
      <c r="S86" s="107">
        <v>0.36</v>
      </c>
      <c r="T86" s="107">
        <v>2.27</v>
      </c>
      <c r="U86" s="107">
        <v>0.21</v>
      </c>
      <c r="V86" s="107">
        <v>0.36</v>
      </c>
      <c r="W86" s="107">
        <v>0.17</v>
      </c>
      <c r="X86" s="107">
        <v>10.7</v>
      </c>
      <c r="Y86" s="107">
        <v>0</v>
      </c>
      <c r="Z86" s="107">
        <v>111</v>
      </c>
      <c r="AA86" s="107">
        <v>41</v>
      </c>
      <c r="AB86" s="107">
        <v>0.55000000000000004</v>
      </c>
      <c r="AC86" s="107">
        <v>30</v>
      </c>
      <c r="AD86" s="107">
        <v>253</v>
      </c>
      <c r="AE86" s="107">
        <v>2</v>
      </c>
      <c r="AF86" s="107">
        <v>26</v>
      </c>
      <c r="AG86" s="112"/>
      <c r="AH86" s="112"/>
    </row>
    <row r="87" spans="1:34" ht="13.5" thickBot="1">
      <c r="A87" s="107">
        <v>232</v>
      </c>
      <c r="B87" s="116" t="s">
        <v>48</v>
      </c>
      <c r="C87" s="116"/>
      <c r="D87" s="109">
        <v>0</v>
      </c>
      <c r="E87" s="116">
        <v>100</v>
      </c>
      <c r="F87" s="116">
        <v>0</v>
      </c>
      <c r="G87" s="116">
        <v>100</v>
      </c>
      <c r="H87" s="116">
        <v>0</v>
      </c>
      <c r="I87" s="116">
        <v>0</v>
      </c>
      <c r="J87" s="119">
        <v>0</v>
      </c>
      <c r="K87" s="111">
        <f t="shared" si="4"/>
        <v>0</v>
      </c>
      <c r="L87" s="111">
        <f t="shared" ref="L87:L141" si="6">IF(J87 = 0,0,(1.37*(J87*0.01*4.409*0.82)-0.138*(J87*0.01*4.409*0.82)^2+0.0105*(J87*0.01*4.409*0.82)^3-1.12)/2.2)</f>
        <v>0</v>
      </c>
      <c r="M87" s="111">
        <f t="shared" si="5"/>
        <v>0</v>
      </c>
      <c r="N87" s="116">
        <v>0</v>
      </c>
      <c r="O87" s="116">
        <v>0</v>
      </c>
      <c r="P87" s="116">
        <v>0</v>
      </c>
      <c r="Q87" s="116">
        <v>0</v>
      </c>
      <c r="R87" s="116">
        <v>0</v>
      </c>
      <c r="S87" s="116">
        <v>0</v>
      </c>
      <c r="T87" s="116">
        <v>0</v>
      </c>
      <c r="U87" s="116">
        <v>0</v>
      </c>
      <c r="V87" s="116">
        <v>0</v>
      </c>
      <c r="W87" s="116">
        <v>0</v>
      </c>
      <c r="X87" s="116">
        <v>0</v>
      </c>
      <c r="Y87" s="116">
        <v>0</v>
      </c>
      <c r="Z87" s="116">
        <v>0</v>
      </c>
      <c r="AA87" s="116">
        <v>0</v>
      </c>
      <c r="AB87" s="116">
        <v>0</v>
      </c>
      <c r="AC87" s="116">
        <v>0</v>
      </c>
      <c r="AD87" s="116">
        <v>0</v>
      </c>
      <c r="AE87" s="116">
        <v>0</v>
      </c>
      <c r="AF87" s="116">
        <v>0</v>
      </c>
      <c r="AG87" s="120"/>
      <c r="AH87" s="120"/>
    </row>
    <row r="88" spans="1:34" ht="13.5" thickBot="1">
      <c r="A88" s="107">
        <v>233</v>
      </c>
      <c r="B88" s="116" t="s">
        <v>48</v>
      </c>
      <c r="C88" s="116"/>
      <c r="D88" s="109">
        <v>0</v>
      </c>
      <c r="E88" s="116">
        <v>0</v>
      </c>
      <c r="F88" s="116">
        <v>100</v>
      </c>
      <c r="G88" s="116">
        <v>100</v>
      </c>
      <c r="H88" s="116">
        <v>0</v>
      </c>
      <c r="I88" s="116">
        <v>0</v>
      </c>
      <c r="J88" s="119">
        <v>0</v>
      </c>
      <c r="K88" s="111">
        <f t="shared" si="4"/>
        <v>0</v>
      </c>
      <c r="L88" s="111">
        <f t="shared" si="6"/>
        <v>0</v>
      </c>
      <c r="M88" s="111">
        <f t="shared" si="5"/>
        <v>0</v>
      </c>
      <c r="N88" s="116">
        <v>0</v>
      </c>
      <c r="O88" s="116">
        <v>0</v>
      </c>
      <c r="P88" s="116">
        <v>0</v>
      </c>
      <c r="Q88" s="116">
        <v>0</v>
      </c>
      <c r="R88" s="116">
        <v>0</v>
      </c>
      <c r="S88" s="116">
        <v>0</v>
      </c>
      <c r="T88" s="116">
        <v>0</v>
      </c>
      <c r="U88" s="116">
        <v>0</v>
      </c>
      <c r="V88" s="116">
        <v>0</v>
      </c>
      <c r="W88" s="116">
        <v>0</v>
      </c>
      <c r="X88" s="116">
        <v>0</v>
      </c>
      <c r="Y88" s="116">
        <v>0</v>
      </c>
      <c r="Z88" s="116">
        <v>0</v>
      </c>
      <c r="AA88" s="116">
        <v>0</v>
      </c>
      <c r="AB88" s="116">
        <v>0</v>
      </c>
      <c r="AC88" s="116">
        <v>0</v>
      </c>
      <c r="AD88" s="116">
        <v>0</v>
      </c>
      <c r="AE88" s="116">
        <v>0</v>
      </c>
      <c r="AF88" s="116">
        <v>0</v>
      </c>
      <c r="AG88" s="120"/>
      <c r="AH88" s="120"/>
    </row>
    <row r="89" spans="1:34" ht="13.5" thickBot="1">
      <c r="A89" s="107">
        <v>234</v>
      </c>
      <c r="B89" s="116" t="s">
        <v>48</v>
      </c>
      <c r="C89" s="116"/>
      <c r="D89" s="109">
        <v>0</v>
      </c>
      <c r="E89" s="116">
        <v>0</v>
      </c>
      <c r="F89" s="116">
        <v>100</v>
      </c>
      <c r="G89" s="116">
        <v>100</v>
      </c>
      <c r="H89" s="116">
        <v>0</v>
      </c>
      <c r="I89" s="116">
        <v>0</v>
      </c>
      <c r="J89" s="119">
        <v>0</v>
      </c>
      <c r="K89" s="111">
        <f t="shared" si="4"/>
        <v>0</v>
      </c>
      <c r="L89" s="111">
        <f t="shared" si="6"/>
        <v>0</v>
      </c>
      <c r="M89" s="111">
        <f t="shared" si="5"/>
        <v>0</v>
      </c>
      <c r="N89" s="116">
        <v>0</v>
      </c>
      <c r="O89" s="116">
        <v>0</v>
      </c>
      <c r="P89" s="116">
        <v>0</v>
      </c>
      <c r="Q89" s="116">
        <v>0</v>
      </c>
      <c r="R89" s="116">
        <v>0</v>
      </c>
      <c r="S89" s="116">
        <v>0</v>
      </c>
      <c r="T89" s="116">
        <v>0</v>
      </c>
      <c r="U89" s="116">
        <v>0</v>
      </c>
      <c r="V89" s="116">
        <v>0</v>
      </c>
      <c r="W89" s="116">
        <v>0</v>
      </c>
      <c r="X89" s="116">
        <v>0</v>
      </c>
      <c r="Y89" s="116">
        <v>0</v>
      </c>
      <c r="Z89" s="116">
        <v>0</v>
      </c>
      <c r="AA89" s="116">
        <v>0</v>
      </c>
      <c r="AB89" s="116">
        <v>0</v>
      </c>
      <c r="AC89" s="116">
        <v>0</v>
      </c>
      <c r="AD89" s="116">
        <v>0</v>
      </c>
      <c r="AE89" s="116">
        <v>0</v>
      </c>
      <c r="AF89" s="116">
        <v>0</v>
      </c>
      <c r="AG89" s="120"/>
      <c r="AH89" s="120"/>
    </row>
    <row r="90" spans="1:34" ht="13.5" thickBot="1">
      <c r="A90" s="107">
        <v>235</v>
      </c>
      <c r="B90" s="116" t="s">
        <v>48</v>
      </c>
      <c r="C90" s="116"/>
      <c r="D90" s="109">
        <v>0</v>
      </c>
      <c r="E90" s="116">
        <v>0</v>
      </c>
      <c r="F90" s="116">
        <v>100</v>
      </c>
      <c r="G90" s="116">
        <v>100</v>
      </c>
      <c r="H90" s="116">
        <v>0</v>
      </c>
      <c r="I90" s="116">
        <v>0</v>
      </c>
      <c r="J90" s="119">
        <v>0</v>
      </c>
      <c r="K90" s="111">
        <f t="shared" si="4"/>
        <v>0</v>
      </c>
      <c r="L90" s="111">
        <f t="shared" si="6"/>
        <v>0</v>
      </c>
      <c r="M90" s="111">
        <f t="shared" si="5"/>
        <v>0</v>
      </c>
      <c r="N90" s="116">
        <v>0</v>
      </c>
      <c r="O90" s="116">
        <v>0</v>
      </c>
      <c r="P90" s="116">
        <v>0</v>
      </c>
      <c r="Q90" s="116">
        <v>0</v>
      </c>
      <c r="R90" s="116">
        <v>0</v>
      </c>
      <c r="S90" s="116">
        <v>0</v>
      </c>
      <c r="T90" s="116">
        <v>0</v>
      </c>
      <c r="U90" s="116">
        <v>0</v>
      </c>
      <c r="V90" s="116">
        <v>0</v>
      </c>
      <c r="W90" s="116">
        <v>0</v>
      </c>
      <c r="X90" s="116">
        <v>0</v>
      </c>
      <c r="Y90" s="116">
        <v>0</v>
      </c>
      <c r="Z90" s="116">
        <v>0</v>
      </c>
      <c r="AA90" s="116">
        <v>0</v>
      </c>
      <c r="AB90" s="116">
        <v>0</v>
      </c>
      <c r="AC90" s="116">
        <v>0</v>
      </c>
      <c r="AD90" s="116">
        <v>0</v>
      </c>
      <c r="AE90" s="116">
        <v>0</v>
      </c>
      <c r="AF90" s="116">
        <v>0</v>
      </c>
      <c r="AG90" s="120"/>
      <c r="AH90" s="120"/>
    </row>
    <row r="91" spans="1:34" ht="13.5" thickBot="1">
      <c r="A91" s="107">
        <v>236</v>
      </c>
      <c r="B91" s="116" t="s">
        <v>48</v>
      </c>
      <c r="C91" s="116"/>
      <c r="D91" s="109">
        <v>0</v>
      </c>
      <c r="E91" s="116">
        <v>0</v>
      </c>
      <c r="F91" s="116">
        <v>100</v>
      </c>
      <c r="G91" s="116">
        <v>100</v>
      </c>
      <c r="H91" s="116">
        <v>0</v>
      </c>
      <c r="I91" s="116">
        <v>0</v>
      </c>
      <c r="J91" s="119">
        <v>0</v>
      </c>
      <c r="K91" s="111">
        <f t="shared" si="4"/>
        <v>0</v>
      </c>
      <c r="L91" s="111">
        <f t="shared" si="6"/>
        <v>0</v>
      </c>
      <c r="M91" s="111">
        <f t="shared" si="5"/>
        <v>0</v>
      </c>
      <c r="N91" s="116">
        <v>0</v>
      </c>
      <c r="O91" s="116">
        <v>0</v>
      </c>
      <c r="P91" s="116">
        <v>0</v>
      </c>
      <c r="Q91" s="116">
        <v>0</v>
      </c>
      <c r="R91" s="116">
        <v>0</v>
      </c>
      <c r="S91" s="116">
        <v>0</v>
      </c>
      <c r="T91" s="116">
        <v>0</v>
      </c>
      <c r="U91" s="116">
        <v>0</v>
      </c>
      <c r="V91" s="116">
        <v>0</v>
      </c>
      <c r="W91" s="116">
        <v>0</v>
      </c>
      <c r="X91" s="116">
        <v>0</v>
      </c>
      <c r="Y91" s="116">
        <v>0</v>
      </c>
      <c r="Z91" s="116">
        <v>0</v>
      </c>
      <c r="AA91" s="116">
        <v>0</v>
      </c>
      <c r="AB91" s="116">
        <v>0</v>
      </c>
      <c r="AC91" s="116">
        <v>0</v>
      </c>
      <c r="AD91" s="116">
        <v>0</v>
      </c>
      <c r="AE91" s="116">
        <v>0</v>
      </c>
      <c r="AF91" s="116">
        <v>0</v>
      </c>
      <c r="AG91" s="120"/>
      <c r="AH91" s="120"/>
    </row>
    <row r="92" spans="1:34" ht="13.5" thickBot="1">
      <c r="A92" s="107">
        <v>237</v>
      </c>
      <c r="B92" s="116" t="s">
        <v>48</v>
      </c>
      <c r="C92" s="116"/>
      <c r="D92" s="109">
        <v>0</v>
      </c>
      <c r="E92" s="116">
        <v>0</v>
      </c>
      <c r="F92" s="116">
        <v>100</v>
      </c>
      <c r="G92" s="116">
        <v>100</v>
      </c>
      <c r="H92" s="116">
        <v>0</v>
      </c>
      <c r="I92" s="116">
        <v>0</v>
      </c>
      <c r="J92" s="119">
        <v>0</v>
      </c>
      <c r="K92" s="111">
        <f t="shared" si="4"/>
        <v>0</v>
      </c>
      <c r="L92" s="111">
        <f t="shared" si="6"/>
        <v>0</v>
      </c>
      <c r="M92" s="111">
        <f t="shared" si="5"/>
        <v>0</v>
      </c>
      <c r="N92" s="116">
        <v>0</v>
      </c>
      <c r="O92" s="116">
        <v>0</v>
      </c>
      <c r="P92" s="116">
        <v>0</v>
      </c>
      <c r="Q92" s="116">
        <v>0</v>
      </c>
      <c r="R92" s="116">
        <v>0</v>
      </c>
      <c r="S92" s="116">
        <v>0</v>
      </c>
      <c r="T92" s="116">
        <v>0</v>
      </c>
      <c r="U92" s="116">
        <v>0</v>
      </c>
      <c r="V92" s="116">
        <v>0</v>
      </c>
      <c r="W92" s="116">
        <v>0</v>
      </c>
      <c r="X92" s="116">
        <v>0</v>
      </c>
      <c r="Y92" s="116">
        <v>0</v>
      </c>
      <c r="Z92" s="116">
        <v>0</v>
      </c>
      <c r="AA92" s="116">
        <v>0</v>
      </c>
      <c r="AB92" s="116">
        <v>0</v>
      </c>
      <c r="AC92" s="116">
        <v>0</v>
      </c>
      <c r="AD92" s="116">
        <v>0</v>
      </c>
      <c r="AE92" s="116">
        <v>0</v>
      </c>
      <c r="AF92" s="116">
        <v>0</v>
      </c>
      <c r="AG92" s="120"/>
      <c r="AH92" s="120"/>
    </row>
    <row r="93" spans="1:34" ht="13.5" thickBot="1">
      <c r="A93" s="107">
        <v>238</v>
      </c>
      <c r="B93" s="116" t="s">
        <v>48</v>
      </c>
      <c r="C93" s="116"/>
      <c r="D93" s="109">
        <v>0</v>
      </c>
      <c r="E93" s="116">
        <v>0</v>
      </c>
      <c r="F93" s="116">
        <v>100</v>
      </c>
      <c r="G93" s="116">
        <v>100</v>
      </c>
      <c r="H93" s="116">
        <v>0</v>
      </c>
      <c r="I93" s="116">
        <v>0</v>
      </c>
      <c r="J93" s="119">
        <v>0</v>
      </c>
      <c r="K93" s="111">
        <f t="shared" si="4"/>
        <v>0</v>
      </c>
      <c r="L93" s="111">
        <f t="shared" si="6"/>
        <v>0</v>
      </c>
      <c r="M93" s="111">
        <f t="shared" si="5"/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v>0</v>
      </c>
      <c r="X93" s="116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0</v>
      </c>
      <c r="AD93" s="116">
        <v>0</v>
      </c>
      <c r="AE93" s="116">
        <v>0</v>
      </c>
      <c r="AF93" s="116">
        <v>0</v>
      </c>
      <c r="AG93" s="120"/>
      <c r="AH93" s="120"/>
    </row>
    <row r="94" spans="1:34" ht="13.5" thickBot="1">
      <c r="A94" s="107">
        <v>239</v>
      </c>
      <c r="B94" s="116" t="s">
        <v>48</v>
      </c>
      <c r="C94" s="116"/>
      <c r="D94" s="109">
        <v>0</v>
      </c>
      <c r="E94" s="116">
        <v>100</v>
      </c>
      <c r="F94" s="116">
        <v>0</v>
      </c>
      <c r="G94" s="116">
        <v>100</v>
      </c>
      <c r="H94" s="116">
        <v>0</v>
      </c>
      <c r="I94" s="116">
        <v>0</v>
      </c>
      <c r="J94" s="119">
        <v>0</v>
      </c>
      <c r="K94" s="111">
        <f t="shared" si="4"/>
        <v>0</v>
      </c>
      <c r="L94" s="111">
        <f t="shared" si="6"/>
        <v>0</v>
      </c>
      <c r="M94" s="111">
        <f t="shared" si="5"/>
        <v>0</v>
      </c>
      <c r="N94" s="116">
        <v>0</v>
      </c>
      <c r="O94" s="116">
        <v>0</v>
      </c>
      <c r="P94" s="116">
        <v>0</v>
      </c>
      <c r="Q94" s="116">
        <v>0</v>
      </c>
      <c r="R94" s="116">
        <v>0</v>
      </c>
      <c r="S94" s="116">
        <v>0</v>
      </c>
      <c r="T94" s="116">
        <v>0</v>
      </c>
      <c r="U94" s="116">
        <v>0</v>
      </c>
      <c r="V94" s="116">
        <v>0</v>
      </c>
      <c r="W94" s="116">
        <v>0</v>
      </c>
      <c r="X94" s="116">
        <v>0</v>
      </c>
      <c r="Y94" s="116">
        <v>0</v>
      </c>
      <c r="Z94" s="116">
        <v>0</v>
      </c>
      <c r="AA94" s="116">
        <v>0</v>
      </c>
      <c r="AB94" s="116">
        <v>0</v>
      </c>
      <c r="AC94" s="116">
        <v>0</v>
      </c>
      <c r="AD94" s="116">
        <v>0</v>
      </c>
      <c r="AE94" s="116">
        <v>0</v>
      </c>
      <c r="AF94" s="116">
        <v>0</v>
      </c>
      <c r="AG94" s="120"/>
      <c r="AH94" s="120"/>
    </row>
    <row r="95" spans="1:34" ht="13.5" thickBot="1">
      <c r="A95" s="107">
        <v>240</v>
      </c>
      <c r="B95" s="116" t="s">
        <v>48</v>
      </c>
      <c r="C95" s="116"/>
      <c r="D95" s="109">
        <v>0</v>
      </c>
      <c r="E95" s="116">
        <v>100</v>
      </c>
      <c r="F95" s="116">
        <v>0</v>
      </c>
      <c r="G95" s="116">
        <v>100</v>
      </c>
      <c r="H95" s="116">
        <v>0</v>
      </c>
      <c r="I95" s="116">
        <v>0</v>
      </c>
      <c r="J95" s="119">
        <v>0</v>
      </c>
      <c r="K95" s="111">
        <f t="shared" si="4"/>
        <v>0</v>
      </c>
      <c r="L95" s="111">
        <f t="shared" si="6"/>
        <v>0</v>
      </c>
      <c r="M95" s="111">
        <f t="shared" si="5"/>
        <v>0</v>
      </c>
      <c r="N95" s="116">
        <v>0</v>
      </c>
      <c r="O95" s="116">
        <v>0</v>
      </c>
      <c r="P95" s="116">
        <v>0</v>
      </c>
      <c r="Q95" s="116">
        <v>0</v>
      </c>
      <c r="R95" s="116">
        <v>0</v>
      </c>
      <c r="S95" s="116">
        <v>0</v>
      </c>
      <c r="T95" s="116">
        <v>0</v>
      </c>
      <c r="U95" s="116">
        <v>0</v>
      </c>
      <c r="V95" s="116">
        <v>0</v>
      </c>
      <c r="W95" s="116">
        <v>0</v>
      </c>
      <c r="X95" s="116">
        <v>0</v>
      </c>
      <c r="Y95" s="116">
        <v>0</v>
      </c>
      <c r="Z95" s="116">
        <v>0</v>
      </c>
      <c r="AA95" s="116">
        <v>0</v>
      </c>
      <c r="AB95" s="116">
        <v>0</v>
      </c>
      <c r="AC95" s="116">
        <v>0</v>
      </c>
      <c r="AD95" s="116">
        <v>0</v>
      </c>
      <c r="AE95" s="116">
        <v>0</v>
      </c>
      <c r="AF95" s="116">
        <v>0</v>
      </c>
      <c r="AG95" s="120"/>
      <c r="AH95" s="120"/>
    </row>
    <row r="96" spans="1:34" ht="13.5" thickBot="1">
      <c r="A96" s="107">
        <v>241</v>
      </c>
      <c r="B96" s="116" t="s">
        <v>48</v>
      </c>
      <c r="C96" s="116"/>
      <c r="D96" s="109">
        <v>0</v>
      </c>
      <c r="E96" s="116">
        <v>100</v>
      </c>
      <c r="F96" s="116">
        <v>0</v>
      </c>
      <c r="G96" s="116">
        <v>100</v>
      </c>
      <c r="H96" s="116">
        <v>0</v>
      </c>
      <c r="I96" s="116">
        <v>0</v>
      </c>
      <c r="J96" s="119">
        <v>0</v>
      </c>
      <c r="K96" s="111">
        <f t="shared" si="4"/>
        <v>0</v>
      </c>
      <c r="L96" s="111">
        <f t="shared" si="6"/>
        <v>0</v>
      </c>
      <c r="M96" s="111">
        <f t="shared" si="5"/>
        <v>0</v>
      </c>
      <c r="N96" s="116">
        <v>0</v>
      </c>
      <c r="O96" s="116">
        <v>0</v>
      </c>
      <c r="P96" s="116">
        <v>0</v>
      </c>
      <c r="Q96" s="116">
        <v>0</v>
      </c>
      <c r="R96" s="116">
        <v>0</v>
      </c>
      <c r="S96" s="116">
        <v>0</v>
      </c>
      <c r="T96" s="116">
        <v>0</v>
      </c>
      <c r="U96" s="116">
        <v>0</v>
      </c>
      <c r="V96" s="116">
        <v>0</v>
      </c>
      <c r="W96" s="116">
        <v>0</v>
      </c>
      <c r="X96" s="116">
        <v>0</v>
      </c>
      <c r="Y96" s="116">
        <v>0</v>
      </c>
      <c r="Z96" s="116">
        <v>0</v>
      </c>
      <c r="AA96" s="116">
        <v>0</v>
      </c>
      <c r="AB96" s="116">
        <v>0</v>
      </c>
      <c r="AC96" s="116">
        <v>0</v>
      </c>
      <c r="AD96" s="116">
        <v>0</v>
      </c>
      <c r="AE96" s="116">
        <v>0</v>
      </c>
      <c r="AF96" s="116">
        <v>0</v>
      </c>
      <c r="AG96" s="120"/>
      <c r="AH96" s="120"/>
    </row>
    <row r="97" spans="1:34" ht="13.5" thickBot="1">
      <c r="A97" s="107">
        <v>242</v>
      </c>
      <c r="B97" s="116" t="s">
        <v>48</v>
      </c>
      <c r="C97" s="116"/>
      <c r="D97" s="109">
        <v>0</v>
      </c>
      <c r="E97" s="116">
        <v>100</v>
      </c>
      <c r="F97" s="116">
        <v>0</v>
      </c>
      <c r="G97" s="116">
        <v>100</v>
      </c>
      <c r="H97" s="116">
        <v>0</v>
      </c>
      <c r="I97" s="116">
        <v>0</v>
      </c>
      <c r="J97" s="119">
        <v>0</v>
      </c>
      <c r="K97" s="111">
        <f t="shared" si="4"/>
        <v>0</v>
      </c>
      <c r="L97" s="111">
        <f t="shared" si="6"/>
        <v>0</v>
      </c>
      <c r="M97" s="111">
        <f t="shared" si="5"/>
        <v>0</v>
      </c>
      <c r="N97" s="116">
        <v>0</v>
      </c>
      <c r="O97" s="116">
        <v>0</v>
      </c>
      <c r="P97" s="116">
        <v>0</v>
      </c>
      <c r="Q97" s="116">
        <v>0</v>
      </c>
      <c r="R97" s="116">
        <v>0</v>
      </c>
      <c r="S97" s="116">
        <v>0</v>
      </c>
      <c r="T97" s="116">
        <v>0</v>
      </c>
      <c r="U97" s="116">
        <v>0</v>
      </c>
      <c r="V97" s="116">
        <v>0</v>
      </c>
      <c r="W97" s="116">
        <v>0</v>
      </c>
      <c r="X97" s="116">
        <v>0</v>
      </c>
      <c r="Y97" s="116">
        <v>0</v>
      </c>
      <c r="Z97" s="116">
        <v>0</v>
      </c>
      <c r="AA97" s="116">
        <v>0</v>
      </c>
      <c r="AB97" s="116">
        <v>0</v>
      </c>
      <c r="AC97" s="116">
        <v>0</v>
      </c>
      <c r="AD97" s="116">
        <v>0</v>
      </c>
      <c r="AE97" s="116">
        <v>0</v>
      </c>
      <c r="AF97" s="116">
        <v>0</v>
      </c>
      <c r="AG97" s="120"/>
      <c r="AH97" s="120"/>
    </row>
    <row r="98" spans="1:34" ht="13.5" thickBot="1">
      <c r="A98" s="107">
        <v>243</v>
      </c>
      <c r="B98" s="116" t="s">
        <v>48</v>
      </c>
      <c r="C98" s="116"/>
      <c r="D98" s="109">
        <v>0</v>
      </c>
      <c r="E98" s="116">
        <v>100</v>
      </c>
      <c r="F98" s="116">
        <v>0</v>
      </c>
      <c r="G98" s="116">
        <v>100</v>
      </c>
      <c r="H98" s="116">
        <v>0</v>
      </c>
      <c r="I98" s="116">
        <v>0</v>
      </c>
      <c r="J98" s="119">
        <v>0</v>
      </c>
      <c r="K98" s="111">
        <f t="shared" si="4"/>
        <v>0</v>
      </c>
      <c r="L98" s="111">
        <f t="shared" si="6"/>
        <v>0</v>
      </c>
      <c r="M98" s="111">
        <f t="shared" si="5"/>
        <v>0</v>
      </c>
      <c r="N98" s="116">
        <v>0</v>
      </c>
      <c r="O98" s="116">
        <v>0</v>
      </c>
      <c r="P98" s="116">
        <v>0</v>
      </c>
      <c r="Q98" s="116">
        <v>0</v>
      </c>
      <c r="R98" s="116">
        <v>0</v>
      </c>
      <c r="S98" s="116">
        <v>0</v>
      </c>
      <c r="T98" s="116">
        <v>0</v>
      </c>
      <c r="U98" s="116">
        <v>0</v>
      </c>
      <c r="V98" s="116">
        <v>0</v>
      </c>
      <c r="W98" s="116">
        <v>0</v>
      </c>
      <c r="X98" s="116">
        <v>0</v>
      </c>
      <c r="Y98" s="116">
        <v>0</v>
      </c>
      <c r="Z98" s="116">
        <v>0</v>
      </c>
      <c r="AA98" s="116">
        <v>0</v>
      </c>
      <c r="AB98" s="116">
        <v>0</v>
      </c>
      <c r="AC98" s="116">
        <v>0</v>
      </c>
      <c r="AD98" s="116">
        <v>0</v>
      </c>
      <c r="AE98" s="116">
        <v>0</v>
      </c>
      <c r="AF98" s="116">
        <v>0</v>
      </c>
      <c r="AG98" s="120"/>
      <c r="AH98" s="120"/>
    </row>
    <row r="99" spans="1:34" ht="13.5" thickBot="1">
      <c r="A99" s="107">
        <v>244</v>
      </c>
      <c r="B99" s="116" t="s">
        <v>48</v>
      </c>
      <c r="C99" s="116"/>
      <c r="D99" s="109">
        <v>0</v>
      </c>
      <c r="E99" s="116">
        <v>100</v>
      </c>
      <c r="F99" s="116">
        <v>0</v>
      </c>
      <c r="G99" s="116">
        <v>100</v>
      </c>
      <c r="H99" s="116">
        <v>0</v>
      </c>
      <c r="I99" s="116">
        <v>0</v>
      </c>
      <c r="J99" s="119">
        <v>0</v>
      </c>
      <c r="K99" s="111">
        <f t="shared" si="4"/>
        <v>0</v>
      </c>
      <c r="L99" s="111">
        <f t="shared" si="6"/>
        <v>0</v>
      </c>
      <c r="M99" s="111">
        <f t="shared" si="5"/>
        <v>0</v>
      </c>
      <c r="N99" s="116">
        <v>0</v>
      </c>
      <c r="O99" s="116">
        <v>0</v>
      </c>
      <c r="P99" s="116">
        <v>0</v>
      </c>
      <c r="Q99" s="116">
        <v>0</v>
      </c>
      <c r="R99" s="116">
        <v>0</v>
      </c>
      <c r="S99" s="116">
        <v>0</v>
      </c>
      <c r="T99" s="116">
        <v>0</v>
      </c>
      <c r="U99" s="116">
        <v>0</v>
      </c>
      <c r="V99" s="116">
        <v>0</v>
      </c>
      <c r="W99" s="116">
        <v>0</v>
      </c>
      <c r="X99" s="116">
        <v>0</v>
      </c>
      <c r="Y99" s="116">
        <v>0</v>
      </c>
      <c r="Z99" s="116">
        <v>0</v>
      </c>
      <c r="AA99" s="116">
        <v>0</v>
      </c>
      <c r="AB99" s="116">
        <v>0</v>
      </c>
      <c r="AC99" s="116">
        <v>0</v>
      </c>
      <c r="AD99" s="116">
        <v>0</v>
      </c>
      <c r="AE99" s="116">
        <v>0</v>
      </c>
      <c r="AF99" s="116">
        <v>0</v>
      </c>
      <c r="AG99" s="120"/>
      <c r="AH99" s="120"/>
    </row>
    <row r="100" spans="1:34" ht="13.5" thickBot="1">
      <c r="A100" s="107">
        <v>249</v>
      </c>
      <c r="B100" s="116" t="s">
        <v>48</v>
      </c>
      <c r="C100" s="116"/>
      <c r="D100" s="109">
        <v>0</v>
      </c>
      <c r="E100" s="116">
        <v>100</v>
      </c>
      <c r="F100" s="116">
        <v>0</v>
      </c>
      <c r="G100" s="116">
        <v>100</v>
      </c>
      <c r="H100" s="116">
        <v>0</v>
      </c>
      <c r="I100" s="116">
        <v>0</v>
      </c>
      <c r="J100" s="119">
        <v>0</v>
      </c>
      <c r="K100" s="111">
        <f t="shared" si="4"/>
        <v>0</v>
      </c>
      <c r="L100" s="111">
        <f t="shared" si="6"/>
        <v>0</v>
      </c>
      <c r="M100" s="111">
        <f t="shared" si="5"/>
        <v>0</v>
      </c>
      <c r="N100" s="116">
        <v>0</v>
      </c>
      <c r="O100" s="116">
        <v>0</v>
      </c>
      <c r="P100" s="116">
        <v>0</v>
      </c>
      <c r="Q100" s="116">
        <v>0</v>
      </c>
      <c r="R100" s="116">
        <v>0</v>
      </c>
      <c r="S100" s="116">
        <v>0</v>
      </c>
      <c r="T100" s="116">
        <v>0</v>
      </c>
      <c r="U100" s="116">
        <v>0</v>
      </c>
      <c r="V100" s="116">
        <v>0</v>
      </c>
      <c r="W100" s="116">
        <v>0</v>
      </c>
      <c r="X100" s="116">
        <v>0</v>
      </c>
      <c r="Y100" s="116">
        <v>0</v>
      </c>
      <c r="Z100" s="116">
        <v>0</v>
      </c>
      <c r="AA100" s="116">
        <v>0</v>
      </c>
      <c r="AB100" s="116">
        <v>0</v>
      </c>
      <c r="AC100" s="116">
        <v>0</v>
      </c>
      <c r="AD100" s="116">
        <v>0</v>
      </c>
      <c r="AE100" s="116">
        <v>0</v>
      </c>
      <c r="AF100" s="116">
        <v>0</v>
      </c>
      <c r="AG100" s="120"/>
      <c r="AH100" s="120"/>
    </row>
    <row r="101" spans="1:34" ht="13.5" thickBot="1">
      <c r="A101" s="107">
        <v>250</v>
      </c>
      <c r="B101" s="116" t="s">
        <v>48</v>
      </c>
      <c r="C101" s="116"/>
      <c r="D101" s="109">
        <v>0</v>
      </c>
      <c r="E101" s="116">
        <v>100</v>
      </c>
      <c r="F101" s="116">
        <v>0</v>
      </c>
      <c r="G101" s="116">
        <v>100</v>
      </c>
      <c r="H101" s="116">
        <v>0</v>
      </c>
      <c r="I101" s="116">
        <v>0</v>
      </c>
      <c r="J101" s="119">
        <v>0</v>
      </c>
      <c r="K101" s="111">
        <f t="shared" si="4"/>
        <v>0</v>
      </c>
      <c r="L101" s="111">
        <f t="shared" si="6"/>
        <v>0</v>
      </c>
      <c r="M101" s="111">
        <f t="shared" si="5"/>
        <v>0</v>
      </c>
      <c r="N101" s="116">
        <v>0</v>
      </c>
      <c r="O101" s="116">
        <v>0</v>
      </c>
      <c r="P101" s="116">
        <v>0</v>
      </c>
      <c r="Q101" s="116">
        <v>0</v>
      </c>
      <c r="R101" s="116">
        <v>0</v>
      </c>
      <c r="S101" s="116">
        <v>0</v>
      </c>
      <c r="T101" s="116">
        <v>0</v>
      </c>
      <c r="U101" s="116">
        <v>0</v>
      </c>
      <c r="V101" s="116">
        <v>0</v>
      </c>
      <c r="W101" s="116">
        <v>0</v>
      </c>
      <c r="X101" s="116">
        <v>0</v>
      </c>
      <c r="Y101" s="116">
        <v>0</v>
      </c>
      <c r="Z101" s="116">
        <v>0</v>
      </c>
      <c r="AA101" s="116">
        <v>0</v>
      </c>
      <c r="AB101" s="116">
        <v>0</v>
      </c>
      <c r="AC101" s="116">
        <v>0</v>
      </c>
      <c r="AD101" s="116">
        <v>0</v>
      </c>
      <c r="AE101" s="116">
        <v>0</v>
      </c>
      <c r="AF101" s="116">
        <v>0</v>
      </c>
      <c r="AG101" s="120"/>
      <c r="AH101" s="120"/>
    </row>
    <row r="102" spans="1:34" ht="13.5" thickBot="1">
      <c r="A102" s="107">
        <v>301</v>
      </c>
      <c r="B102" s="107" t="s">
        <v>90</v>
      </c>
      <c r="C102" s="107"/>
      <c r="D102" s="109">
        <v>0</v>
      </c>
      <c r="E102" s="107">
        <v>25</v>
      </c>
      <c r="F102" s="107">
        <v>75</v>
      </c>
      <c r="G102" s="107">
        <v>39</v>
      </c>
      <c r="H102" s="107">
        <v>56.8</v>
      </c>
      <c r="I102" s="107">
        <v>65</v>
      </c>
      <c r="J102" s="110">
        <v>60</v>
      </c>
      <c r="K102" s="111">
        <f t="shared" si="4"/>
        <v>0.98601272727272715</v>
      </c>
      <c r="L102" s="111">
        <f t="shared" si="6"/>
        <v>0.59529739099893775</v>
      </c>
      <c r="M102" s="111">
        <f t="shared" si="5"/>
        <v>0.33457657038005989</v>
      </c>
      <c r="N102" s="107">
        <v>11.9</v>
      </c>
      <c r="O102" s="107">
        <v>86</v>
      </c>
      <c r="P102" s="107">
        <v>2.92</v>
      </c>
      <c r="Q102" s="107">
        <v>0.52</v>
      </c>
      <c r="R102" s="107">
        <v>0.28999999999999998</v>
      </c>
      <c r="S102" s="107">
        <v>0.19</v>
      </c>
      <c r="T102" s="107">
        <v>2.57</v>
      </c>
      <c r="U102" s="107">
        <v>0.12</v>
      </c>
      <c r="V102" s="107">
        <v>0.24</v>
      </c>
      <c r="W102" s="107">
        <v>0.72</v>
      </c>
      <c r="X102" s="107">
        <v>7.7</v>
      </c>
      <c r="Y102" s="107">
        <v>0</v>
      </c>
      <c r="Z102" s="107">
        <v>375</v>
      </c>
      <c r="AA102" s="107">
        <v>44.8</v>
      </c>
      <c r="AB102" s="107">
        <v>0.15</v>
      </c>
      <c r="AC102" s="107">
        <v>24.5</v>
      </c>
      <c r="AD102" s="107">
        <v>0</v>
      </c>
      <c r="AE102" s="107">
        <v>0</v>
      </c>
      <c r="AF102" s="107">
        <v>0</v>
      </c>
      <c r="AG102" s="112"/>
      <c r="AH102" s="112"/>
    </row>
    <row r="103" spans="1:34" ht="13.5" thickBot="1">
      <c r="A103" s="107">
        <v>302</v>
      </c>
      <c r="B103" s="107" t="s">
        <v>92</v>
      </c>
      <c r="C103" s="107" t="s">
        <v>91</v>
      </c>
      <c r="D103" s="109">
        <v>0</v>
      </c>
      <c r="E103" s="107">
        <v>0</v>
      </c>
      <c r="F103" s="107">
        <v>100</v>
      </c>
      <c r="G103" s="107">
        <v>91</v>
      </c>
      <c r="H103" s="107">
        <v>72.5</v>
      </c>
      <c r="I103" s="107">
        <v>100</v>
      </c>
      <c r="J103" s="110">
        <v>40</v>
      </c>
      <c r="K103" s="111">
        <f t="shared" si="4"/>
        <v>0.65734181818181803</v>
      </c>
      <c r="L103" s="111">
        <f t="shared" si="6"/>
        <v>0.27471707100266229</v>
      </c>
      <c r="M103" s="111">
        <f t="shared" si="5"/>
        <v>3.4789938686265905E-2</v>
      </c>
      <c r="N103" s="107">
        <v>4.4000000000000004</v>
      </c>
      <c r="O103" s="107">
        <v>30</v>
      </c>
      <c r="P103" s="107">
        <v>1.9</v>
      </c>
      <c r="Q103" s="107">
        <v>0.3</v>
      </c>
      <c r="R103" s="107">
        <v>7.0000000000000007E-2</v>
      </c>
      <c r="S103" s="107">
        <v>0.23</v>
      </c>
      <c r="T103" s="107">
        <v>2.37</v>
      </c>
      <c r="U103" s="107">
        <v>0.14000000000000001</v>
      </c>
      <c r="V103" s="107">
        <v>0.17</v>
      </c>
      <c r="W103" s="107">
        <v>6.7000000000000004E-2</v>
      </c>
      <c r="X103" s="107">
        <v>5.4</v>
      </c>
      <c r="Y103" s="107">
        <v>0</v>
      </c>
      <c r="Z103" s="107">
        <v>200</v>
      </c>
      <c r="AA103" s="107">
        <v>16</v>
      </c>
      <c r="AB103" s="107">
        <v>0</v>
      </c>
      <c r="AC103" s="107">
        <v>7</v>
      </c>
      <c r="AD103" s="107">
        <v>1</v>
      </c>
      <c r="AE103" s="107">
        <v>0.7</v>
      </c>
      <c r="AF103" s="107">
        <v>0</v>
      </c>
      <c r="AG103" s="112"/>
      <c r="AH103" s="112"/>
    </row>
    <row r="104" spans="1:34" ht="13.5" thickBot="1">
      <c r="A104" s="107">
        <v>303</v>
      </c>
      <c r="B104" s="107" t="s">
        <v>94</v>
      </c>
      <c r="C104" s="107" t="s">
        <v>93</v>
      </c>
      <c r="D104" s="109">
        <v>0</v>
      </c>
      <c r="E104" s="107">
        <v>0</v>
      </c>
      <c r="F104" s="107">
        <v>100</v>
      </c>
      <c r="G104" s="107">
        <v>90</v>
      </c>
      <c r="H104" s="107">
        <v>87</v>
      </c>
      <c r="I104" s="107">
        <v>56</v>
      </c>
      <c r="J104" s="110">
        <v>50</v>
      </c>
      <c r="K104" s="111">
        <f t="shared" si="4"/>
        <v>0.82167727272727253</v>
      </c>
      <c r="L104" s="111">
        <f t="shared" si="6"/>
        <v>0.43982315745909745</v>
      </c>
      <c r="M104" s="111">
        <f t="shared" si="5"/>
        <v>0.19109032123313566</v>
      </c>
      <c r="N104" s="107">
        <v>2.8</v>
      </c>
      <c r="O104" s="107">
        <v>22</v>
      </c>
      <c r="P104" s="107">
        <v>0.6</v>
      </c>
      <c r="Q104" s="107">
        <v>0.12</v>
      </c>
      <c r="R104" s="107">
        <v>0.04</v>
      </c>
      <c r="S104" s="107">
        <v>7.0000000000000007E-2</v>
      </c>
      <c r="T104" s="107">
        <v>0.89</v>
      </c>
      <c r="U104" s="107">
        <v>0.08</v>
      </c>
      <c r="V104" s="107">
        <v>0.47</v>
      </c>
      <c r="W104" s="107">
        <v>0.13</v>
      </c>
      <c r="X104" s="107">
        <v>7</v>
      </c>
      <c r="Y104" s="107">
        <v>0</v>
      </c>
      <c r="Z104" s="107">
        <v>230</v>
      </c>
      <c r="AA104" s="107">
        <v>6</v>
      </c>
      <c r="AB104" s="107">
        <v>0.08</v>
      </c>
      <c r="AC104" s="107">
        <v>5</v>
      </c>
      <c r="AD104" s="107">
        <v>1.2</v>
      </c>
      <c r="AE104" s="107">
        <v>0</v>
      </c>
      <c r="AF104" s="107">
        <v>0</v>
      </c>
      <c r="AG104" s="112"/>
      <c r="AH104" s="112"/>
    </row>
    <row r="105" spans="1:34" ht="13.5" thickBot="1">
      <c r="A105" s="107">
        <v>304</v>
      </c>
      <c r="B105" s="107" t="s">
        <v>96</v>
      </c>
      <c r="C105" s="107" t="s">
        <v>95</v>
      </c>
      <c r="D105" s="109">
        <v>0</v>
      </c>
      <c r="E105" s="107">
        <v>25</v>
      </c>
      <c r="F105" s="107">
        <v>75</v>
      </c>
      <c r="G105" s="107">
        <v>29</v>
      </c>
      <c r="H105" s="107">
        <v>52</v>
      </c>
      <c r="I105" s="107">
        <v>81</v>
      </c>
      <c r="J105" s="110">
        <v>68</v>
      </c>
      <c r="K105" s="111">
        <f t="shared" si="4"/>
        <v>1.1174810909090909</v>
      </c>
      <c r="L105" s="111">
        <f t="shared" si="6"/>
        <v>0.71365123126228525</v>
      </c>
      <c r="M105" s="111">
        <f t="shared" si="5"/>
        <v>0.441196015352816</v>
      </c>
      <c r="N105" s="107">
        <v>8.3000000000000007</v>
      </c>
      <c r="O105" s="107">
        <v>76</v>
      </c>
      <c r="P105" s="107">
        <v>2.1</v>
      </c>
      <c r="Q105" s="107">
        <v>0.31</v>
      </c>
      <c r="R105" s="107">
        <v>0.27</v>
      </c>
      <c r="S105" s="107">
        <v>0.22</v>
      </c>
      <c r="T105" s="107">
        <v>1.22</v>
      </c>
      <c r="U105" s="107">
        <v>0.03</v>
      </c>
      <c r="V105" s="107">
        <v>0.12</v>
      </c>
      <c r="W105" s="107">
        <v>9.7000000000000003E-2</v>
      </c>
      <c r="X105" s="107">
        <v>9.1999999999999993</v>
      </c>
      <c r="Y105" s="107">
        <v>0</v>
      </c>
      <c r="Z105" s="107">
        <v>180</v>
      </c>
      <c r="AA105" s="107">
        <v>41.1</v>
      </c>
      <c r="AB105" s="107">
        <v>0</v>
      </c>
      <c r="AC105" s="107">
        <v>21.2</v>
      </c>
      <c r="AD105" s="107">
        <v>58.1</v>
      </c>
      <c r="AE105" s="107">
        <v>0</v>
      </c>
      <c r="AF105" s="107">
        <v>0</v>
      </c>
      <c r="AG105" s="112"/>
      <c r="AH105" s="112"/>
    </row>
    <row r="106" spans="1:34" ht="13.5" thickBot="1">
      <c r="A106" s="107">
        <v>305</v>
      </c>
      <c r="B106" s="107" t="s">
        <v>96</v>
      </c>
      <c r="C106" s="107" t="s">
        <v>97</v>
      </c>
      <c r="D106" s="109">
        <v>0</v>
      </c>
      <c r="E106" s="107">
        <v>25</v>
      </c>
      <c r="F106" s="107">
        <v>75</v>
      </c>
      <c r="G106" s="107">
        <v>29</v>
      </c>
      <c r="H106" s="107">
        <v>55</v>
      </c>
      <c r="I106" s="107">
        <v>81</v>
      </c>
      <c r="J106" s="110">
        <v>61</v>
      </c>
      <c r="K106" s="111">
        <f t="shared" si="4"/>
        <v>1.0024462727272725</v>
      </c>
      <c r="L106" s="111">
        <f t="shared" si="6"/>
        <v>0.61036716276983005</v>
      </c>
      <c r="M106" s="111">
        <f t="shared" si="5"/>
        <v>0.34828095357616651</v>
      </c>
      <c r="N106" s="107">
        <v>8.3000000000000007</v>
      </c>
      <c r="O106" s="107">
        <v>76</v>
      </c>
      <c r="P106" s="107">
        <v>2.1</v>
      </c>
      <c r="Q106" s="107">
        <v>0.31</v>
      </c>
      <c r="R106" s="107">
        <v>0.27</v>
      </c>
      <c r="S106" s="107">
        <v>0.22</v>
      </c>
      <c r="T106" s="107">
        <v>1.22</v>
      </c>
      <c r="U106" s="107">
        <v>0.03</v>
      </c>
      <c r="V106" s="107">
        <v>0.12</v>
      </c>
      <c r="W106" s="107">
        <v>9.7000000000000003E-2</v>
      </c>
      <c r="X106" s="107">
        <v>9.1999999999999993</v>
      </c>
      <c r="Y106" s="107">
        <v>0</v>
      </c>
      <c r="Z106" s="107">
        <v>180</v>
      </c>
      <c r="AA106" s="107">
        <v>41.1</v>
      </c>
      <c r="AB106" s="107">
        <v>0</v>
      </c>
      <c r="AC106" s="107">
        <v>21.2</v>
      </c>
      <c r="AD106" s="107">
        <v>58.1</v>
      </c>
      <c r="AE106" s="107">
        <v>0</v>
      </c>
      <c r="AF106" s="107">
        <v>0</v>
      </c>
      <c r="AG106" s="112"/>
      <c r="AH106" s="112"/>
    </row>
    <row r="107" spans="1:34" ht="13.5" thickBot="1">
      <c r="A107" s="107">
        <v>306</v>
      </c>
      <c r="B107" s="107" t="s">
        <v>99</v>
      </c>
      <c r="C107" s="107" t="s">
        <v>98</v>
      </c>
      <c r="D107" s="109">
        <v>0</v>
      </c>
      <c r="E107" s="107">
        <v>35</v>
      </c>
      <c r="F107" s="107">
        <v>65</v>
      </c>
      <c r="G107" s="107">
        <v>33</v>
      </c>
      <c r="H107" s="107">
        <v>46</v>
      </c>
      <c r="I107" s="107">
        <v>81</v>
      </c>
      <c r="J107" s="110">
        <v>69</v>
      </c>
      <c r="K107" s="111">
        <f t="shared" si="4"/>
        <v>1.1339146363636363</v>
      </c>
      <c r="L107" s="111">
        <f t="shared" si="6"/>
        <v>0.7281074324094412</v>
      </c>
      <c r="M107" s="111">
        <f t="shared" si="5"/>
        <v>0.45405766090902305</v>
      </c>
      <c r="N107" s="107">
        <v>8.6</v>
      </c>
      <c r="O107" s="107">
        <v>77</v>
      </c>
      <c r="P107" s="107">
        <v>2.6</v>
      </c>
      <c r="Q107" s="107">
        <v>0.31</v>
      </c>
      <c r="R107" s="107">
        <v>0.27</v>
      </c>
      <c r="S107" s="107">
        <v>0.22</v>
      </c>
      <c r="T107" s="107">
        <v>1.22</v>
      </c>
      <c r="U107" s="107">
        <v>0.03</v>
      </c>
      <c r="V107" s="107">
        <v>0.12</v>
      </c>
      <c r="W107" s="107">
        <v>9.7000000000000003E-2</v>
      </c>
      <c r="X107" s="107">
        <v>9.1999999999999993</v>
      </c>
      <c r="Y107" s="107">
        <v>0</v>
      </c>
      <c r="Z107" s="107">
        <v>180</v>
      </c>
      <c r="AA107" s="107">
        <v>41.1</v>
      </c>
      <c r="AB107" s="107">
        <v>0</v>
      </c>
      <c r="AC107" s="107">
        <v>21.2</v>
      </c>
      <c r="AD107" s="107">
        <v>58.1</v>
      </c>
      <c r="AE107" s="107">
        <v>0</v>
      </c>
      <c r="AF107" s="107">
        <v>0</v>
      </c>
      <c r="AG107" s="112"/>
      <c r="AH107" s="112"/>
    </row>
    <row r="108" spans="1:34" ht="13.5" thickBot="1">
      <c r="A108" s="107">
        <v>307</v>
      </c>
      <c r="B108" s="107" t="s">
        <v>100</v>
      </c>
      <c r="C108" s="107" t="s">
        <v>98</v>
      </c>
      <c r="D108" s="109">
        <v>0</v>
      </c>
      <c r="E108" s="107">
        <v>40</v>
      </c>
      <c r="F108" s="107">
        <v>60</v>
      </c>
      <c r="G108" s="107">
        <v>33</v>
      </c>
      <c r="H108" s="107">
        <v>45</v>
      </c>
      <c r="I108" s="107">
        <v>81</v>
      </c>
      <c r="J108" s="110">
        <v>66</v>
      </c>
      <c r="K108" s="111">
        <f t="shared" si="4"/>
        <v>1.084614</v>
      </c>
      <c r="L108" s="111">
        <f t="shared" si="6"/>
        <v>0.68452159590899575</v>
      </c>
      <c r="M108" s="111">
        <f t="shared" si="5"/>
        <v>0.41517163498582677</v>
      </c>
      <c r="N108" s="107">
        <v>9.1999999999999993</v>
      </c>
      <c r="O108" s="107">
        <v>78</v>
      </c>
      <c r="P108" s="107">
        <v>3.1</v>
      </c>
      <c r="Q108" s="107">
        <v>0.31</v>
      </c>
      <c r="R108" s="107">
        <v>0.27</v>
      </c>
      <c r="S108" s="107">
        <v>0.22</v>
      </c>
      <c r="T108" s="107">
        <v>1.22</v>
      </c>
      <c r="U108" s="107">
        <v>0.03</v>
      </c>
      <c r="V108" s="107">
        <v>0.12</v>
      </c>
      <c r="W108" s="107">
        <v>9.7000000000000003E-2</v>
      </c>
      <c r="X108" s="107">
        <v>9.1999999999999993</v>
      </c>
      <c r="Y108" s="107">
        <v>0</v>
      </c>
      <c r="Z108" s="107">
        <v>180</v>
      </c>
      <c r="AA108" s="107">
        <v>41.1</v>
      </c>
      <c r="AB108" s="107">
        <v>0</v>
      </c>
      <c r="AC108" s="107">
        <v>21.2</v>
      </c>
      <c r="AD108" s="107">
        <v>58.1</v>
      </c>
      <c r="AE108" s="107">
        <v>0</v>
      </c>
      <c r="AF108" s="107">
        <v>0</v>
      </c>
      <c r="AG108" s="112"/>
      <c r="AH108" s="112"/>
    </row>
    <row r="109" spans="1:34" ht="13.5" thickBot="1">
      <c r="A109" s="107">
        <v>308</v>
      </c>
      <c r="B109" s="107" t="s">
        <v>101</v>
      </c>
      <c r="C109" s="107" t="s">
        <v>98</v>
      </c>
      <c r="D109" s="109">
        <v>0</v>
      </c>
      <c r="E109" s="107">
        <v>40</v>
      </c>
      <c r="F109" s="107">
        <v>60</v>
      </c>
      <c r="G109" s="107">
        <v>33</v>
      </c>
      <c r="H109" s="107">
        <v>45</v>
      </c>
      <c r="I109" s="107">
        <v>81</v>
      </c>
      <c r="J109" s="110">
        <v>67</v>
      </c>
      <c r="K109" s="111">
        <f t="shared" si="4"/>
        <v>1.1010475454545454</v>
      </c>
      <c r="L109" s="111">
        <f t="shared" si="6"/>
        <v>0.69912307018055508</v>
      </c>
      <c r="M109" s="111">
        <f t="shared" si="5"/>
        <v>0.42823453082965884</v>
      </c>
      <c r="N109" s="107">
        <v>13.2</v>
      </c>
      <c r="O109" s="107">
        <v>85</v>
      </c>
      <c r="P109" s="107">
        <v>3.1</v>
      </c>
      <c r="Q109" s="107">
        <v>0.31</v>
      </c>
      <c r="R109" s="107">
        <v>0.27</v>
      </c>
      <c r="S109" s="107">
        <v>0.22</v>
      </c>
      <c r="T109" s="107">
        <v>1.22</v>
      </c>
      <c r="U109" s="107">
        <v>0.03</v>
      </c>
      <c r="V109" s="107">
        <v>0.12</v>
      </c>
      <c r="W109" s="107">
        <v>9.7000000000000003E-2</v>
      </c>
      <c r="X109" s="107">
        <v>9.1999999999999993</v>
      </c>
      <c r="Y109" s="107">
        <v>0</v>
      </c>
      <c r="Z109" s="107">
        <v>180</v>
      </c>
      <c r="AA109" s="107">
        <v>41.1</v>
      </c>
      <c r="AB109" s="107">
        <v>0</v>
      </c>
      <c r="AC109" s="107">
        <v>21.2</v>
      </c>
      <c r="AD109" s="107">
        <v>58.1</v>
      </c>
      <c r="AE109" s="107">
        <v>0</v>
      </c>
      <c r="AF109" s="107">
        <v>0</v>
      </c>
      <c r="AG109" s="112"/>
      <c r="AH109" s="112"/>
    </row>
    <row r="110" spans="1:34" ht="13.5" thickBot="1">
      <c r="A110" s="107">
        <v>309</v>
      </c>
      <c r="B110" s="107" t="s">
        <v>102</v>
      </c>
      <c r="C110" s="107" t="s">
        <v>98</v>
      </c>
      <c r="D110" s="109">
        <v>0</v>
      </c>
      <c r="E110" s="107">
        <v>40</v>
      </c>
      <c r="F110" s="107">
        <v>60</v>
      </c>
      <c r="G110" s="107">
        <v>33</v>
      </c>
      <c r="H110" s="107">
        <v>45</v>
      </c>
      <c r="I110" s="107">
        <v>81</v>
      </c>
      <c r="J110" s="110">
        <v>68</v>
      </c>
      <c r="K110" s="111">
        <f t="shared" si="4"/>
        <v>1.1174810909090909</v>
      </c>
      <c r="L110" s="111">
        <f t="shared" si="6"/>
        <v>0.71365123126228525</v>
      </c>
      <c r="M110" s="111">
        <f t="shared" si="5"/>
        <v>0.441196015352816</v>
      </c>
      <c r="N110" s="107">
        <v>13</v>
      </c>
      <c r="O110" s="107">
        <v>85</v>
      </c>
      <c r="P110" s="107">
        <v>3.1</v>
      </c>
      <c r="Q110" s="107">
        <v>0.31</v>
      </c>
      <c r="R110" s="107">
        <v>0.27</v>
      </c>
      <c r="S110" s="107">
        <v>0.22</v>
      </c>
      <c r="T110" s="107">
        <v>1.22</v>
      </c>
      <c r="U110" s="107">
        <v>0.03</v>
      </c>
      <c r="V110" s="107">
        <v>0.12</v>
      </c>
      <c r="W110" s="107">
        <v>9.7000000000000003E-2</v>
      </c>
      <c r="X110" s="107">
        <v>9.1999999999999993</v>
      </c>
      <c r="Y110" s="107">
        <v>0</v>
      </c>
      <c r="Z110" s="107">
        <v>180</v>
      </c>
      <c r="AA110" s="107">
        <v>41.1</v>
      </c>
      <c r="AB110" s="107">
        <v>0</v>
      </c>
      <c r="AC110" s="107">
        <v>21.2</v>
      </c>
      <c r="AD110" s="107">
        <v>58.1</v>
      </c>
      <c r="AE110" s="107">
        <v>0</v>
      </c>
      <c r="AF110" s="107">
        <v>0</v>
      </c>
      <c r="AG110" s="112"/>
      <c r="AH110" s="112"/>
    </row>
    <row r="111" spans="1:34" ht="13.5" thickBot="1">
      <c r="A111" s="107">
        <v>310</v>
      </c>
      <c r="B111" s="107" t="s">
        <v>103</v>
      </c>
      <c r="C111" s="107" t="s">
        <v>98</v>
      </c>
      <c r="D111" s="109">
        <v>0</v>
      </c>
      <c r="E111" s="107">
        <v>45</v>
      </c>
      <c r="F111" s="107">
        <v>55</v>
      </c>
      <c r="G111" s="107">
        <v>34</v>
      </c>
      <c r="H111" s="107">
        <v>43</v>
      </c>
      <c r="I111" s="107">
        <v>81</v>
      </c>
      <c r="J111" s="110">
        <v>72</v>
      </c>
      <c r="K111" s="111">
        <f t="shared" si="4"/>
        <v>1.1832152727272724</v>
      </c>
      <c r="L111" s="111">
        <f t="shared" si="6"/>
        <v>0.7710578087960136</v>
      </c>
      <c r="M111" s="111">
        <f t="shared" si="5"/>
        <v>0.49205928731319343</v>
      </c>
      <c r="N111" s="107">
        <v>8.65</v>
      </c>
      <c r="O111" s="107">
        <v>78</v>
      </c>
      <c r="P111" s="107">
        <v>3.09</v>
      </c>
      <c r="Q111" s="107">
        <v>0.25</v>
      </c>
      <c r="R111" s="107">
        <v>0.22</v>
      </c>
      <c r="S111" s="107">
        <v>0.18</v>
      </c>
      <c r="T111" s="107">
        <v>1.1399999999999999</v>
      </c>
      <c r="U111" s="107">
        <v>0.01</v>
      </c>
      <c r="V111" s="107">
        <v>0.12</v>
      </c>
      <c r="W111" s="107">
        <v>9.7000000000000003E-2</v>
      </c>
      <c r="X111" s="107">
        <v>4.18</v>
      </c>
      <c r="Y111" s="107">
        <v>0</v>
      </c>
      <c r="Z111" s="107">
        <v>131</v>
      </c>
      <c r="AA111" s="107">
        <v>23.5</v>
      </c>
      <c r="AB111" s="107">
        <v>0</v>
      </c>
      <c r="AC111" s="107">
        <v>17.7</v>
      </c>
      <c r="AD111" s="107">
        <v>18</v>
      </c>
      <c r="AE111" s="107">
        <v>0.1</v>
      </c>
      <c r="AF111" s="107">
        <v>0</v>
      </c>
      <c r="AG111" s="112"/>
      <c r="AH111" s="112"/>
    </row>
    <row r="112" spans="1:34" ht="13.5" thickBot="1">
      <c r="A112" s="107">
        <v>311</v>
      </c>
      <c r="B112" s="107" t="s">
        <v>104</v>
      </c>
      <c r="C112" s="107"/>
      <c r="D112" s="109">
        <v>0</v>
      </c>
      <c r="E112" s="107">
        <v>45</v>
      </c>
      <c r="F112" s="107">
        <v>60</v>
      </c>
      <c r="G112" s="107">
        <v>33</v>
      </c>
      <c r="H112" s="107">
        <v>43</v>
      </c>
      <c r="I112" s="107">
        <v>81</v>
      </c>
      <c r="J112" s="110">
        <v>78.658536585365866</v>
      </c>
      <c r="K112" s="111">
        <f t="shared" si="4"/>
        <v>1.2926386363636364</v>
      </c>
      <c r="L112" s="111">
        <f t="shared" si="6"/>
        <v>0.86429988693959092</v>
      </c>
      <c r="M112" s="111">
        <f t="shared" si="5"/>
        <v>0.57345785329652943</v>
      </c>
      <c r="N112" s="107">
        <v>13</v>
      </c>
      <c r="O112" s="107">
        <v>85</v>
      </c>
      <c r="P112" s="107">
        <v>3.05</v>
      </c>
      <c r="Q112" s="107">
        <v>0.31</v>
      </c>
      <c r="R112" s="107">
        <v>0.27</v>
      </c>
      <c r="S112" s="107">
        <v>0.22</v>
      </c>
      <c r="T112" s="107">
        <v>1.22</v>
      </c>
      <c r="U112" s="107">
        <v>0.03</v>
      </c>
      <c r="V112" s="107">
        <v>0.12</v>
      </c>
      <c r="W112" s="107">
        <v>9.7000000000000003E-2</v>
      </c>
      <c r="X112" s="107">
        <v>9.1999999999999993</v>
      </c>
      <c r="Y112" s="107">
        <v>0</v>
      </c>
      <c r="Z112" s="107">
        <v>180</v>
      </c>
      <c r="AA112" s="107">
        <v>41.1</v>
      </c>
      <c r="AB112" s="107">
        <v>0</v>
      </c>
      <c r="AC112" s="107">
        <v>21.2</v>
      </c>
      <c r="AD112" s="107">
        <v>58.1</v>
      </c>
      <c r="AE112" s="107">
        <v>0</v>
      </c>
      <c r="AF112" s="107">
        <v>0</v>
      </c>
      <c r="AG112" s="112"/>
      <c r="AH112" s="112"/>
    </row>
    <row r="113" spans="1:34" ht="13.5" thickBot="1">
      <c r="A113" s="107">
        <v>312</v>
      </c>
      <c r="B113" s="107" t="s">
        <v>105</v>
      </c>
      <c r="C113" s="107"/>
      <c r="D113" s="109">
        <v>0</v>
      </c>
      <c r="E113" s="107">
        <v>45</v>
      </c>
      <c r="F113" s="107">
        <v>60</v>
      </c>
      <c r="G113" s="107">
        <v>33</v>
      </c>
      <c r="H113" s="107">
        <v>43</v>
      </c>
      <c r="I113" s="107">
        <v>81</v>
      </c>
      <c r="J113" s="110">
        <v>75</v>
      </c>
      <c r="K113" s="111">
        <f t="shared" si="4"/>
        <v>1.232515909090909</v>
      </c>
      <c r="L113" s="111">
        <f t="shared" si="6"/>
        <v>0.81340926296060134</v>
      </c>
      <c r="M113" s="111">
        <f t="shared" si="5"/>
        <v>0.52921896774891264</v>
      </c>
      <c r="N113" s="107">
        <v>13</v>
      </c>
      <c r="O113" s="107">
        <v>85</v>
      </c>
      <c r="P113" s="107">
        <v>3.05</v>
      </c>
      <c r="Q113" s="107">
        <v>0.31</v>
      </c>
      <c r="R113" s="107">
        <v>0.27</v>
      </c>
      <c r="S113" s="107">
        <v>0.22</v>
      </c>
      <c r="T113" s="107">
        <v>1.22</v>
      </c>
      <c r="U113" s="107">
        <v>0.03</v>
      </c>
      <c r="V113" s="107">
        <v>0.12</v>
      </c>
      <c r="W113" s="107">
        <v>9.7000000000000003E-2</v>
      </c>
      <c r="X113" s="107">
        <v>9.1999999999999993</v>
      </c>
      <c r="Y113" s="107">
        <v>0</v>
      </c>
      <c r="Z113" s="107">
        <v>180</v>
      </c>
      <c r="AA113" s="107">
        <v>41.1</v>
      </c>
      <c r="AB113" s="107">
        <v>0</v>
      </c>
      <c r="AC113" s="107">
        <v>21.2</v>
      </c>
      <c r="AD113" s="107">
        <v>58.1</v>
      </c>
      <c r="AE113" s="107">
        <v>0</v>
      </c>
      <c r="AF113" s="107">
        <v>0</v>
      </c>
      <c r="AG113" s="112"/>
      <c r="AH113" s="112"/>
    </row>
    <row r="114" spans="1:34" ht="13.5" thickBot="1">
      <c r="A114" s="107">
        <v>313</v>
      </c>
      <c r="B114" s="107" t="s">
        <v>106</v>
      </c>
      <c r="C114" s="107" t="s">
        <v>98</v>
      </c>
      <c r="D114" s="109">
        <v>0</v>
      </c>
      <c r="E114" s="107">
        <v>50</v>
      </c>
      <c r="F114" s="107">
        <v>50</v>
      </c>
      <c r="G114" s="107">
        <v>35</v>
      </c>
      <c r="H114" s="107">
        <v>41</v>
      </c>
      <c r="I114" s="107">
        <v>71</v>
      </c>
      <c r="J114" s="110">
        <v>75</v>
      </c>
      <c r="K114" s="111">
        <f t="shared" si="4"/>
        <v>1.232515909090909</v>
      </c>
      <c r="L114" s="111">
        <f t="shared" si="6"/>
        <v>0.81340926296060134</v>
      </c>
      <c r="M114" s="111">
        <f t="shared" si="5"/>
        <v>0.52921896774891264</v>
      </c>
      <c r="N114" s="107">
        <v>8</v>
      </c>
      <c r="O114" s="107">
        <v>75</v>
      </c>
      <c r="P114" s="107">
        <v>3.5</v>
      </c>
      <c r="Q114" s="107">
        <v>0.31</v>
      </c>
      <c r="R114" s="107">
        <v>0.27</v>
      </c>
      <c r="S114" s="107">
        <v>0.22</v>
      </c>
      <c r="T114" s="107">
        <v>1.22</v>
      </c>
      <c r="U114" s="107">
        <v>0.03</v>
      </c>
      <c r="V114" s="107">
        <v>0.12</v>
      </c>
      <c r="W114" s="107">
        <v>9.7000000000000003E-2</v>
      </c>
      <c r="X114" s="107">
        <v>9.1999999999999993</v>
      </c>
      <c r="Y114" s="107">
        <v>0</v>
      </c>
      <c r="Z114" s="107">
        <v>180</v>
      </c>
      <c r="AA114" s="107">
        <v>41.1</v>
      </c>
      <c r="AB114" s="107">
        <v>0</v>
      </c>
      <c r="AC114" s="107">
        <v>21.2</v>
      </c>
      <c r="AD114" s="107">
        <v>58.1</v>
      </c>
      <c r="AE114" s="107">
        <v>0</v>
      </c>
      <c r="AF114" s="107">
        <v>0</v>
      </c>
      <c r="AG114" s="112"/>
      <c r="AH114" s="112"/>
    </row>
    <row r="115" spans="1:34" ht="13.5" thickBot="1">
      <c r="A115" s="107">
        <v>314</v>
      </c>
      <c r="B115" s="107" t="s">
        <v>107</v>
      </c>
      <c r="C115" s="107"/>
      <c r="D115" s="109">
        <v>0</v>
      </c>
      <c r="E115" s="107">
        <v>50</v>
      </c>
      <c r="F115" s="107">
        <v>50</v>
      </c>
      <c r="G115" s="107">
        <v>35</v>
      </c>
      <c r="H115" s="107">
        <v>41</v>
      </c>
      <c r="I115" s="107">
        <v>71</v>
      </c>
      <c r="J115" s="110">
        <v>82.317073170731717</v>
      </c>
      <c r="K115" s="111">
        <f t="shared" si="4"/>
        <v>1.3527613636363633</v>
      </c>
      <c r="L115" s="111">
        <f t="shared" si="6"/>
        <v>0.91442039502721095</v>
      </c>
      <c r="M115" s="111">
        <f t="shared" si="5"/>
        <v>0.61658472249193597</v>
      </c>
      <c r="N115" s="107">
        <v>13</v>
      </c>
      <c r="O115" s="107">
        <v>85</v>
      </c>
      <c r="P115" s="107">
        <v>3.5</v>
      </c>
      <c r="Q115" s="107">
        <v>0.31</v>
      </c>
      <c r="R115" s="107">
        <v>0.27</v>
      </c>
      <c r="S115" s="107">
        <v>0.22</v>
      </c>
      <c r="T115" s="107">
        <v>1.22</v>
      </c>
      <c r="U115" s="107">
        <v>0.03</v>
      </c>
      <c r="V115" s="107">
        <v>0.12</v>
      </c>
      <c r="W115" s="107">
        <v>9.7000000000000003E-2</v>
      </c>
      <c r="X115" s="107">
        <v>9.1999999999999993</v>
      </c>
      <c r="Y115" s="107">
        <v>0</v>
      </c>
      <c r="Z115" s="107">
        <v>180</v>
      </c>
      <c r="AA115" s="107">
        <v>41.1</v>
      </c>
      <c r="AB115" s="107">
        <v>0</v>
      </c>
      <c r="AC115" s="107">
        <v>21.2</v>
      </c>
      <c r="AD115" s="107">
        <v>58.1</v>
      </c>
      <c r="AE115" s="107">
        <v>0</v>
      </c>
      <c r="AF115" s="107">
        <v>0</v>
      </c>
      <c r="AG115" s="112"/>
      <c r="AH115" s="112"/>
    </row>
    <row r="116" spans="1:34" ht="13.5" thickBot="1">
      <c r="A116" s="107">
        <v>315</v>
      </c>
      <c r="B116" s="107" t="s">
        <v>109</v>
      </c>
      <c r="C116" s="107" t="s">
        <v>108</v>
      </c>
      <c r="D116" s="109">
        <v>0</v>
      </c>
      <c r="E116" s="107">
        <v>0</v>
      </c>
      <c r="F116" s="107">
        <v>100</v>
      </c>
      <c r="G116" s="107">
        <v>25</v>
      </c>
      <c r="H116" s="107">
        <v>60</v>
      </c>
      <c r="I116" s="107">
        <v>81</v>
      </c>
      <c r="J116" s="110">
        <v>65</v>
      </c>
      <c r="K116" s="111">
        <f t="shared" si="4"/>
        <v>1.0681804545454543</v>
      </c>
      <c r="L116" s="111">
        <f t="shared" si="6"/>
        <v>0.66984545519235161</v>
      </c>
      <c r="M116" s="111">
        <f t="shared" si="5"/>
        <v>0.40200575546759432</v>
      </c>
      <c r="N116" s="107">
        <v>9</v>
      </c>
      <c r="O116" s="107">
        <v>78</v>
      </c>
      <c r="P116" s="107">
        <v>3.1</v>
      </c>
      <c r="Q116" s="107">
        <v>0.52</v>
      </c>
      <c r="R116" s="107">
        <v>0.31</v>
      </c>
      <c r="S116" s="107">
        <v>0.31</v>
      </c>
      <c r="T116" s="107">
        <v>1.64</v>
      </c>
      <c r="U116" s="107">
        <v>0</v>
      </c>
      <c r="V116" s="107">
        <v>0</v>
      </c>
      <c r="W116" s="107">
        <v>0</v>
      </c>
      <c r="X116" s="107">
        <v>0</v>
      </c>
      <c r="Y116" s="107">
        <v>0</v>
      </c>
      <c r="Z116" s="107">
        <v>490</v>
      </c>
      <c r="AA116" s="107">
        <v>0</v>
      </c>
      <c r="AB116" s="107">
        <v>0</v>
      </c>
      <c r="AC116" s="107">
        <v>184.5</v>
      </c>
      <c r="AD116" s="107">
        <v>0</v>
      </c>
      <c r="AE116" s="107">
        <v>0</v>
      </c>
      <c r="AF116" s="107">
        <v>0</v>
      </c>
      <c r="AG116" s="112"/>
      <c r="AH116" s="112"/>
    </row>
    <row r="117" spans="1:34" ht="13.5" thickBot="1">
      <c r="A117" s="107">
        <v>316</v>
      </c>
      <c r="B117" s="107" t="s">
        <v>111</v>
      </c>
      <c r="C117" s="107" t="s">
        <v>110</v>
      </c>
      <c r="D117" s="109">
        <v>0</v>
      </c>
      <c r="E117" s="107">
        <v>0</v>
      </c>
      <c r="F117" s="107">
        <v>100</v>
      </c>
      <c r="G117" s="107">
        <v>30</v>
      </c>
      <c r="H117" s="107">
        <v>68</v>
      </c>
      <c r="I117" s="107">
        <v>81</v>
      </c>
      <c r="J117" s="110">
        <v>55</v>
      </c>
      <c r="K117" s="111">
        <f t="shared" si="4"/>
        <v>0.90384499999999979</v>
      </c>
      <c r="L117" s="111">
        <f t="shared" si="6"/>
        <v>0.51867967739014842</v>
      </c>
      <c r="M117" s="111">
        <f t="shared" si="5"/>
        <v>0.26433694037378042</v>
      </c>
      <c r="N117" s="107">
        <v>6.3</v>
      </c>
      <c r="O117" s="107">
        <v>68</v>
      </c>
      <c r="P117" s="107">
        <v>2.1</v>
      </c>
      <c r="Q117" s="107">
        <v>0</v>
      </c>
      <c r="R117" s="107">
        <v>0</v>
      </c>
      <c r="S117" s="107">
        <v>0</v>
      </c>
      <c r="T117" s="107">
        <v>0</v>
      </c>
      <c r="U117" s="107">
        <v>0</v>
      </c>
      <c r="V117" s="107">
        <v>0</v>
      </c>
      <c r="W117" s="107">
        <v>0</v>
      </c>
      <c r="X117" s="107">
        <v>0</v>
      </c>
      <c r="Y117" s="107">
        <v>0</v>
      </c>
      <c r="Z117" s="107">
        <v>0</v>
      </c>
      <c r="AA117" s="107">
        <v>0</v>
      </c>
      <c r="AB117" s="107">
        <v>0</v>
      </c>
      <c r="AC117" s="107">
        <v>0</v>
      </c>
      <c r="AD117" s="107">
        <v>0</v>
      </c>
      <c r="AE117" s="107">
        <v>0</v>
      </c>
      <c r="AF117" s="107">
        <v>0</v>
      </c>
      <c r="AG117" s="112"/>
      <c r="AH117" s="112"/>
    </row>
    <row r="118" spans="1:34" ht="13.5" thickBot="1">
      <c r="A118" s="107">
        <v>317</v>
      </c>
      <c r="B118" s="107" t="s">
        <v>112</v>
      </c>
      <c r="C118" s="107"/>
      <c r="D118" s="109">
        <v>0</v>
      </c>
      <c r="E118" s="107">
        <v>0</v>
      </c>
      <c r="F118" s="107">
        <v>100</v>
      </c>
      <c r="G118" s="107">
        <v>50</v>
      </c>
      <c r="H118" s="107">
        <v>65</v>
      </c>
      <c r="I118" s="107">
        <v>100</v>
      </c>
      <c r="J118" s="110">
        <v>65.853658536585371</v>
      </c>
      <c r="K118" s="111">
        <f t="shared" si="4"/>
        <v>1.0822090909090907</v>
      </c>
      <c r="L118" s="111">
        <f t="shared" si="6"/>
        <v>0.68237856417531373</v>
      </c>
      <c r="M118" s="111">
        <f t="shared" si="5"/>
        <v>0.41325139108947101</v>
      </c>
      <c r="N118" s="107">
        <v>6.5</v>
      </c>
      <c r="O118" s="107">
        <v>69</v>
      </c>
      <c r="P118" s="107">
        <v>2.1</v>
      </c>
      <c r="Q118" s="107">
        <v>0.62</v>
      </c>
      <c r="R118" s="107">
        <v>0.09</v>
      </c>
      <c r="S118" s="107">
        <v>0</v>
      </c>
      <c r="T118" s="107">
        <v>1.63</v>
      </c>
      <c r="U118" s="107">
        <v>0</v>
      </c>
      <c r="V118" s="107">
        <v>0</v>
      </c>
      <c r="W118" s="107">
        <v>0</v>
      </c>
      <c r="X118" s="107">
        <v>0</v>
      </c>
      <c r="Y118" s="107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07">
        <v>0</v>
      </c>
      <c r="AG118" s="112"/>
      <c r="AH118" s="112"/>
    </row>
    <row r="119" spans="1:34" ht="13.5" thickBot="1">
      <c r="A119" s="107">
        <v>318</v>
      </c>
      <c r="B119" s="107" t="s">
        <v>114</v>
      </c>
      <c r="C119" s="107" t="s">
        <v>113</v>
      </c>
      <c r="D119" s="109">
        <v>0</v>
      </c>
      <c r="E119" s="107">
        <v>0</v>
      </c>
      <c r="F119" s="107">
        <v>100</v>
      </c>
      <c r="G119" s="107">
        <v>36.4</v>
      </c>
      <c r="H119" s="107">
        <v>58.1</v>
      </c>
      <c r="I119" s="107">
        <v>61</v>
      </c>
      <c r="J119" s="110">
        <v>59</v>
      </c>
      <c r="K119" s="111">
        <f t="shared" si="4"/>
        <v>0.9695791818181817</v>
      </c>
      <c r="L119" s="111">
        <f t="shared" si="6"/>
        <v>0.58014483325143029</v>
      </c>
      <c r="M119" s="111">
        <f t="shared" si="5"/>
        <v>0.32075976938720335</v>
      </c>
      <c r="N119" s="107">
        <v>12.7</v>
      </c>
      <c r="O119" s="107">
        <v>85</v>
      </c>
      <c r="P119" s="107">
        <v>3.12</v>
      </c>
      <c r="Q119" s="107">
        <v>0.57999999999999996</v>
      </c>
      <c r="R119" s="107">
        <v>0.31</v>
      </c>
      <c r="S119" s="107">
        <v>0.21</v>
      </c>
      <c r="T119" s="107">
        <v>2.88</v>
      </c>
      <c r="U119" s="107">
        <v>0.09</v>
      </c>
      <c r="V119" s="107">
        <v>0.24</v>
      </c>
      <c r="W119" s="107">
        <v>0</v>
      </c>
      <c r="X119" s="107">
        <v>8</v>
      </c>
      <c r="Y119" s="107">
        <v>0</v>
      </c>
      <c r="Z119" s="107">
        <v>367</v>
      </c>
      <c r="AA119" s="107">
        <v>66.3</v>
      </c>
      <c r="AB119" s="107">
        <v>7.0000000000000007E-2</v>
      </c>
      <c r="AC119" s="107">
        <v>29.8</v>
      </c>
      <c r="AD119" s="107">
        <v>0</v>
      </c>
      <c r="AE119" s="107">
        <v>0</v>
      </c>
      <c r="AF119" s="107">
        <v>0</v>
      </c>
      <c r="AG119" s="112"/>
      <c r="AH119" s="112"/>
    </row>
    <row r="120" spans="1:34" ht="13.5" thickBot="1">
      <c r="A120" s="107">
        <v>319</v>
      </c>
      <c r="B120" s="107" t="s">
        <v>116</v>
      </c>
      <c r="C120" s="107" t="s">
        <v>115</v>
      </c>
      <c r="D120" s="109">
        <v>0</v>
      </c>
      <c r="E120" s="107">
        <v>0</v>
      </c>
      <c r="F120" s="107">
        <v>100</v>
      </c>
      <c r="G120" s="107">
        <v>92.2</v>
      </c>
      <c r="H120" s="107">
        <v>74.400000000000006</v>
      </c>
      <c r="I120" s="107">
        <v>98</v>
      </c>
      <c r="J120" s="110">
        <v>45</v>
      </c>
      <c r="K120" s="111">
        <f t="shared" si="4"/>
        <v>0.73950954545454528</v>
      </c>
      <c r="L120" s="111">
        <f t="shared" si="6"/>
        <v>0.35855867429889754</v>
      </c>
      <c r="M120" s="111">
        <f t="shared" si="5"/>
        <v>0.11464016874250429</v>
      </c>
      <c r="N120" s="107">
        <v>4.4000000000000004</v>
      </c>
      <c r="O120" s="107">
        <v>55</v>
      </c>
      <c r="P120" s="107">
        <v>2.2000000000000002</v>
      </c>
      <c r="Q120" s="107">
        <v>0.23</v>
      </c>
      <c r="R120" s="107">
        <v>0.06</v>
      </c>
      <c r="S120" s="107">
        <v>0.17</v>
      </c>
      <c r="T120" s="107">
        <v>2.5299999999999998</v>
      </c>
      <c r="U120" s="107">
        <v>0.42</v>
      </c>
      <c r="V120" s="107">
        <v>0.22</v>
      </c>
      <c r="W120" s="107">
        <v>0</v>
      </c>
      <c r="X120" s="107">
        <v>10.3</v>
      </c>
      <c r="Y120" s="107">
        <v>0</v>
      </c>
      <c r="Z120" s="107">
        <v>164</v>
      </c>
      <c r="AA120" s="107">
        <v>31</v>
      </c>
      <c r="AB120" s="107">
        <v>0</v>
      </c>
      <c r="AC120" s="107">
        <v>6</v>
      </c>
      <c r="AD120" s="107">
        <v>6.3</v>
      </c>
      <c r="AE120" s="107">
        <v>1</v>
      </c>
      <c r="AF120" s="107">
        <v>0</v>
      </c>
      <c r="AG120" s="112"/>
      <c r="AH120" s="112"/>
    </row>
    <row r="121" spans="1:34" ht="13.5" thickBot="1">
      <c r="A121" s="107">
        <v>320</v>
      </c>
      <c r="B121" s="107" t="s">
        <v>118</v>
      </c>
      <c r="C121" s="107" t="s">
        <v>117</v>
      </c>
      <c r="D121" s="109">
        <v>0</v>
      </c>
      <c r="E121" s="107">
        <v>0</v>
      </c>
      <c r="F121" s="107">
        <v>100</v>
      </c>
      <c r="G121" s="107">
        <v>91</v>
      </c>
      <c r="H121" s="107">
        <v>63</v>
      </c>
      <c r="I121" s="107">
        <v>98</v>
      </c>
      <c r="J121" s="110">
        <v>53</v>
      </c>
      <c r="K121" s="111">
        <f t="shared" si="4"/>
        <v>0.870977909090909</v>
      </c>
      <c r="L121" s="111">
        <f t="shared" si="6"/>
        <v>0.48741519896318503</v>
      </c>
      <c r="M121" s="111">
        <f t="shared" si="5"/>
        <v>0.23541013788972137</v>
      </c>
      <c r="N121" s="107">
        <v>9.5</v>
      </c>
      <c r="O121" s="107">
        <v>68</v>
      </c>
      <c r="P121" s="107">
        <v>2.4</v>
      </c>
      <c r="Q121" s="107">
        <v>0.32</v>
      </c>
      <c r="R121" s="107">
        <v>0.25</v>
      </c>
      <c r="S121" s="107">
        <v>0.28999999999999998</v>
      </c>
      <c r="T121" s="107">
        <v>1.49</v>
      </c>
      <c r="U121" s="107">
        <v>0.18</v>
      </c>
      <c r="V121" s="107">
        <v>0.23</v>
      </c>
      <c r="W121" s="107">
        <v>7.2999999999999995E-2</v>
      </c>
      <c r="X121" s="107">
        <v>4.8</v>
      </c>
      <c r="Y121" s="107">
        <v>0</v>
      </c>
      <c r="Z121" s="107">
        <v>406</v>
      </c>
      <c r="AA121" s="107">
        <v>99</v>
      </c>
      <c r="AB121" s="107">
        <v>0</v>
      </c>
      <c r="AC121" s="107">
        <v>45</v>
      </c>
      <c r="AD121" s="107">
        <v>49.6</v>
      </c>
      <c r="AE121" s="107">
        <v>2</v>
      </c>
      <c r="AF121" s="107">
        <v>0</v>
      </c>
      <c r="AG121" s="112"/>
      <c r="AH121" s="112"/>
    </row>
    <row r="122" spans="1:34" ht="13.5" thickBot="1">
      <c r="A122" s="107">
        <v>321</v>
      </c>
      <c r="B122" s="107" t="s">
        <v>120</v>
      </c>
      <c r="C122" s="107" t="s">
        <v>119</v>
      </c>
      <c r="D122" s="109">
        <v>0</v>
      </c>
      <c r="E122" s="107">
        <v>0</v>
      </c>
      <c r="F122" s="107">
        <v>100</v>
      </c>
      <c r="G122" s="107">
        <v>30</v>
      </c>
      <c r="H122" s="107">
        <v>60.8</v>
      </c>
      <c r="I122" s="107">
        <v>81</v>
      </c>
      <c r="J122" s="110">
        <v>60</v>
      </c>
      <c r="K122" s="111">
        <f t="shared" si="4"/>
        <v>0.98601272727272715</v>
      </c>
      <c r="L122" s="111">
        <f t="shared" si="6"/>
        <v>0.59529739099893775</v>
      </c>
      <c r="M122" s="111">
        <f t="shared" si="5"/>
        <v>0.33457657038005989</v>
      </c>
      <c r="N122" s="107">
        <v>9.39</v>
      </c>
      <c r="O122" s="107">
        <v>73</v>
      </c>
      <c r="P122" s="107">
        <v>2.64</v>
      </c>
      <c r="Q122" s="107">
        <v>0.49</v>
      </c>
      <c r="R122" s="107">
        <v>0.22</v>
      </c>
      <c r="S122" s="107">
        <v>0.28000000000000003</v>
      </c>
      <c r="T122" s="107">
        <v>1.72</v>
      </c>
      <c r="U122" s="107">
        <v>0.01</v>
      </c>
      <c r="V122" s="107">
        <v>0.12</v>
      </c>
      <c r="W122" s="107">
        <v>0.3</v>
      </c>
      <c r="X122" s="107">
        <v>9.1999999999999993</v>
      </c>
      <c r="Y122" s="107">
        <v>0</v>
      </c>
      <c r="Z122" s="107">
        <v>383</v>
      </c>
      <c r="AA122" s="107">
        <v>68.5</v>
      </c>
      <c r="AB122" s="107">
        <v>0.03</v>
      </c>
      <c r="AC122" s="107">
        <v>32</v>
      </c>
      <c r="AD122" s="107">
        <v>0</v>
      </c>
      <c r="AE122" s="107">
        <v>0</v>
      </c>
      <c r="AF122" s="107">
        <v>0</v>
      </c>
      <c r="AG122" s="112"/>
      <c r="AH122" s="112"/>
    </row>
    <row r="123" spans="1:34" ht="13.5" thickBot="1">
      <c r="A123" s="107">
        <v>322</v>
      </c>
      <c r="B123" s="107" t="s">
        <v>122</v>
      </c>
      <c r="C123" s="107" t="s">
        <v>121</v>
      </c>
      <c r="D123" s="109">
        <v>0</v>
      </c>
      <c r="E123" s="107">
        <v>0</v>
      </c>
      <c r="F123" s="107">
        <v>100</v>
      </c>
      <c r="G123" s="107">
        <v>35</v>
      </c>
      <c r="H123" s="107">
        <v>60.7</v>
      </c>
      <c r="I123" s="107">
        <v>61</v>
      </c>
      <c r="J123" s="110">
        <v>57</v>
      </c>
      <c r="K123" s="111">
        <f t="shared" si="4"/>
        <v>0.9367120909090908</v>
      </c>
      <c r="L123" s="111">
        <f t="shared" si="6"/>
        <v>0.54958594680555017</v>
      </c>
      <c r="M123" s="111">
        <f t="shared" si="5"/>
        <v>0.29278262459634141</v>
      </c>
      <c r="N123" s="107">
        <v>12.5</v>
      </c>
      <c r="O123" s="107">
        <v>81</v>
      </c>
      <c r="P123" s="107">
        <v>2.5</v>
      </c>
      <c r="Q123" s="107">
        <v>0.44</v>
      </c>
      <c r="R123" s="107">
        <v>0.28999999999999998</v>
      </c>
      <c r="S123" s="107">
        <v>0.17</v>
      </c>
      <c r="T123" s="107">
        <v>2.2400000000000002</v>
      </c>
      <c r="U123" s="107">
        <v>0.04</v>
      </c>
      <c r="V123" s="107">
        <v>0.21</v>
      </c>
      <c r="W123" s="107">
        <v>0</v>
      </c>
      <c r="X123" s="107">
        <v>9</v>
      </c>
      <c r="Y123" s="107">
        <v>0</v>
      </c>
      <c r="Z123" s="107">
        <v>386</v>
      </c>
      <c r="AA123" s="107">
        <v>79.5</v>
      </c>
      <c r="AB123" s="107">
        <v>0</v>
      </c>
      <c r="AC123" s="107">
        <v>28</v>
      </c>
      <c r="AD123" s="107">
        <v>59</v>
      </c>
      <c r="AE123" s="107">
        <v>0</v>
      </c>
      <c r="AF123" s="107">
        <v>0</v>
      </c>
      <c r="AG123" s="112"/>
      <c r="AH123" s="112"/>
    </row>
    <row r="124" spans="1:34" ht="13.5" thickBot="1">
      <c r="A124" s="107">
        <v>323</v>
      </c>
      <c r="B124" s="107" t="s">
        <v>124</v>
      </c>
      <c r="C124" s="107" t="s">
        <v>123</v>
      </c>
      <c r="D124" s="109">
        <v>0</v>
      </c>
      <c r="E124" s="107">
        <v>0</v>
      </c>
      <c r="F124" s="107">
        <v>100</v>
      </c>
      <c r="G124" s="107">
        <v>89</v>
      </c>
      <c r="H124" s="107">
        <v>78.900000000000006</v>
      </c>
      <c r="I124" s="107">
        <v>98</v>
      </c>
      <c r="J124" s="110">
        <v>41</v>
      </c>
      <c r="K124" s="111">
        <f t="shared" si="4"/>
        <v>0.67377536363636359</v>
      </c>
      <c r="L124" s="111">
        <f t="shared" si="6"/>
        <v>0.29169968080432268</v>
      </c>
      <c r="M124" s="111">
        <f t="shared" si="5"/>
        <v>5.1041425025112025E-2</v>
      </c>
      <c r="N124" s="107">
        <v>3.5</v>
      </c>
      <c r="O124" s="107">
        <v>31</v>
      </c>
      <c r="P124" s="107">
        <v>2</v>
      </c>
      <c r="Q124" s="107">
        <v>0.17</v>
      </c>
      <c r="R124" s="107">
        <v>0.05</v>
      </c>
      <c r="S124" s="107">
        <v>0.12</v>
      </c>
      <c r="T124" s="107">
        <v>1.41</v>
      </c>
      <c r="U124" s="107">
        <v>0.14000000000000001</v>
      </c>
      <c r="V124" s="107">
        <v>0.19</v>
      </c>
      <c r="W124" s="107">
        <v>4.5999999999999999E-2</v>
      </c>
      <c r="X124" s="107">
        <v>3.6</v>
      </c>
      <c r="Y124" s="107">
        <v>0</v>
      </c>
      <c r="Z124" s="107">
        <v>157</v>
      </c>
      <c r="AA124" s="107">
        <v>41</v>
      </c>
      <c r="AB124" s="107">
        <v>0</v>
      </c>
      <c r="AC124" s="107">
        <v>6</v>
      </c>
      <c r="AD124" s="107">
        <v>1</v>
      </c>
      <c r="AE124" s="107">
        <v>7.0000000000000007E-2</v>
      </c>
      <c r="AF124" s="107">
        <v>0</v>
      </c>
      <c r="AG124" s="112"/>
      <c r="AH124" s="112"/>
    </row>
    <row r="125" spans="1:34" ht="13.5" thickBot="1">
      <c r="A125" s="107">
        <v>324</v>
      </c>
      <c r="B125" s="116" t="s">
        <v>48</v>
      </c>
      <c r="C125" s="116"/>
      <c r="D125" s="109">
        <v>0</v>
      </c>
      <c r="E125" s="116">
        <v>100</v>
      </c>
      <c r="F125" s="116">
        <v>0</v>
      </c>
      <c r="G125" s="116">
        <v>100</v>
      </c>
      <c r="H125" s="116">
        <v>0</v>
      </c>
      <c r="I125" s="116">
        <v>0</v>
      </c>
      <c r="J125" s="119">
        <v>0</v>
      </c>
      <c r="K125" s="111">
        <f t="shared" si="4"/>
        <v>0</v>
      </c>
      <c r="L125" s="111">
        <f t="shared" si="6"/>
        <v>0</v>
      </c>
      <c r="M125" s="111">
        <f t="shared" si="5"/>
        <v>0</v>
      </c>
      <c r="N125" s="116">
        <v>0</v>
      </c>
      <c r="O125" s="116">
        <v>0</v>
      </c>
      <c r="P125" s="116">
        <v>0</v>
      </c>
      <c r="Q125" s="116">
        <v>0</v>
      </c>
      <c r="R125" s="116">
        <v>0</v>
      </c>
      <c r="S125" s="116">
        <v>0</v>
      </c>
      <c r="T125" s="116">
        <v>0</v>
      </c>
      <c r="U125" s="116">
        <v>0</v>
      </c>
      <c r="V125" s="116">
        <v>0</v>
      </c>
      <c r="W125" s="116">
        <v>0</v>
      </c>
      <c r="X125" s="116">
        <v>0</v>
      </c>
      <c r="Y125" s="116">
        <v>0</v>
      </c>
      <c r="Z125" s="116">
        <v>0</v>
      </c>
      <c r="AA125" s="116">
        <v>0</v>
      </c>
      <c r="AB125" s="116">
        <v>0</v>
      </c>
      <c r="AC125" s="116">
        <v>0</v>
      </c>
      <c r="AD125" s="116">
        <v>0</v>
      </c>
      <c r="AE125" s="116">
        <v>0</v>
      </c>
      <c r="AF125" s="116">
        <v>0</v>
      </c>
      <c r="AG125" s="120"/>
      <c r="AH125" s="120"/>
    </row>
    <row r="126" spans="1:34" ht="13.5" thickBot="1">
      <c r="A126" s="107">
        <v>325</v>
      </c>
      <c r="B126" s="113" t="s">
        <v>504</v>
      </c>
      <c r="C126" s="116"/>
      <c r="D126" s="109">
        <v>0</v>
      </c>
      <c r="E126" s="113">
        <v>0</v>
      </c>
      <c r="F126" s="113">
        <v>100</v>
      </c>
      <c r="G126" s="113">
        <v>35</v>
      </c>
      <c r="H126" s="113">
        <v>57.1</v>
      </c>
      <c r="I126" s="113">
        <v>80</v>
      </c>
      <c r="J126" s="114">
        <v>56</v>
      </c>
      <c r="K126" s="111">
        <f t="shared" si="4"/>
        <v>0.92027854545454535</v>
      </c>
      <c r="L126" s="111">
        <f t="shared" si="6"/>
        <v>0.53417691159666691</v>
      </c>
      <c r="M126" s="111">
        <f t="shared" si="5"/>
        <v>0.27861913609088595</v>
      </c>
      <c r="N126" s="113">
        <v>13.6</v>
      </c>
      <c r="O126" s="113">
        <v>70</v>
      </c>
      <c r="P126" s="113">
        <v>2.7</v>
      </c>
      <c r="Q126" s="113">
        <v>0.44</v>
      </c>
      <c r="R126" s="113">
        <v>0.28999999999999998</v>
      </c>
      <c r="S126" s="113">
        <v>0.17</v>
      </c>
      <c r="T126" s="113">
        <v>2.2400000000000002</v>
      </c>
      <c r="U126" s="113">
        <v>0.04</v>
      </c>
      <c r="V126" s="113">
        <v>0.21</v>
      </c>
      <c r="W126" s="113">
        <v>0</v>
      </c>
      <c r="X126" s="113">
        <v>9</v>
      </c>
      <c r="Y126" s="113">
        <v>0</v>
      </c>
      <c r="Z126" s="113">
        <v>386</v>
      </c>
      <c r="AA126" s="113">
        <v>79.5</v>
      </c>
      <c r="AB126" s="113">
        <v>0.09</v>
      </c>
      <c r="AC126" s="113">
        <v>28</v>
      </c>
      <c r="AD126" s="113">
        <v>0</v>
      </c>
      <c r="AE126" s="113">
        <v>0</v>
      </c>
      <c r="AF126" s="113">
        <v>0</v>
      </c>
      <c r="AG126" s="120"/>
      <c r="AH126" s="120"/>
    </row>
    <row r="127" spans="1:34" ht="13.5" thickBot="1">
      <c r="A127" s="107">
        <v>326</v>
      </c>
      <c r="B127" s="116" t="s">
        <v>48</v>
      </c>
      <c r="C127" s="116"/>
      <c r="D127" s="109">
        <v>0</v>
      </c>
      <c r="E127" s="116">
        <v>100</v>
      </c>
      <c r="F127" s="116">
        <v>0</v>
      </c>
      <c r="G127" s="116">
        <v>100</v>
      </c>
      <c r="H127" s="116">
        <v>0</v>
      </c>
      <c r="I127" s="116">
        <v>0</v>
      </c>
      <c r="J127" s="119">
        <v>0</v>
      </c>
      <c r="K127" s="111">
        <f t="shared" si="4"/>
        <v>0</v>
      </c>
      <c r="L127" s="111">
        <f t="shared" si="6"/>
        <v>0</v>
      </c>
      <c r="M127" s="111">
        <f t="shared" si="5"/>
        <v>0</v>
      </c>
      <c r="N127" s="116">
        <v>0</v>
      </c>
      <c r="O127" s="116">
        <v>0</v>
      </c>
      <c r="P127" s="116">
        <v>0</v>
      </c>
      <c r="Q127" s="116">
        <v>0</v>
      </c>
      <c r="R127" s="116">
        <v>0</v>
      </c>
      <c r="S127" s="116">
        <v>0</v>
      </c>
      <c r="T127" s="116">
        <v>0</v>
      </c>
      <c r="U127" s="116">
        <v>0</v>
      </c>
      <c r="V127" s="116">
        <v>0</v>
      </c>
      <c r="W127" s="116">
        <v>0</v>
      </c>
      <c r="X127" s="116">
        <v>0</v>
      </c>
      <c r="Y127" s="116">
        <v>0</v>
      </c>
      <c r="Z127" s="116">
        <v>0</v>
      </c>
      <c r="AA127" s="116">
        <v>0</v>
      </c>
      <c r="AB127" s="116">
        <v>0</v>
      </c>
      <c r="AC127" s="116">
        <v>0</v>
      </c>
      <c r="AD127" s="116">
        <v>0</v>
      </c>
      <c r="AE127" s="116">
        <v>0</v>
      </c>
      <c r="AF127" s="116">
        <v>0</v>
      </c>
      <c r="AG127" s="120"/>
      <c r="AH127" s="120"/>
    </row>
    <row r="128" spans="1:34" ht="13.5" thickBot="1">
      <c r="A128" s="107">
        <v>327</v>
      </c>
      <c r="B128" s="116" t="s">
        <v>48</v>
      </c>
      <c r="C128" s="116"/>
      <c r="D128" s="109">
        <v>0</v>
      </c>
      <c r="E128" s="116">
        <v>100</v>
      </c>
      <c r="F128" s="116">
        <v>0</v>
      </c>
      <c r="G128" s="116">
        <v>100</v>
      </c>
      <c r="H128" s="116">
        <v>0</v>
      </c>
      <c r="I128" s="116">
        <v>0</v>
      </c>
      <c r="J128" s="119">
        <v>0</v>
      </c>
      <c r="K128" s="111">
        <f t="shared" si="4"/>
        <v>0</v>
      </c>
      <c r="L128" s="111">
        <f t="shared" si="6"/>
        <v>0</v>
      </c>
      <c r="M128" s="111">
        <f t="shared" si="5"/>
        <v>0</v>
      </c>
      <c r="N128" s="116">
        <v>0</v>
      </c>
      <c r="O128" s="116">
        <v>0</v>
      </c>
      <c r="P128" s="116">
        <v>0</v>
      </c>
      <c r="Q128" s="116">
        <v>0</v>
      </c>
      <c r="R128" s="116">
        <v>0</v>
      </c>
      <c r="S128" s="116">
        <v>0</v>
      </c>
      <c r="T128" s="116">
        <v>0</v>
      </c>
      <c r="U128" s="116">
        <v>0</v>
      </c>
      <c r="V128" s="116">
        <v>0</v>
      </c>
      <c r="W128" s="116">
        <v>0</v>
      </c>
      <c r="X128" s="116">
        <v>0</v>
      </c>
      <c r="Y128" s="116">
        <v>0</v>
      </c>
      <c r="Z128" s="116">
        <v>0</v>
      </c>
      <c r="AA128" s="116">
        <v>0</v>
      </c>
      <c r="AB128" s="116">
        <v>0</v>
      </c>
      <c r="AC128" s="116">
        <v>0</v>
      </c>
      <c r="AD128" s="116">
        <v>0</v>
      </c>
      <c r="AE128" s="116">
        <v>0</v>
      </c>
      <c r="AF128" s="116">
        <v>0</v>
      </c>
      <c r="AG128" s="120"/>
      <c r="AH128" s="120"/>
    </row>
    <row r="129" spans="1:34" ht="13.5" thickBot="1">
      <c r="A129" s="107">
        <v>328</v>
      </c>
      <c r="B129" s="116" t="s">
        <v>48</v>
      </c>
      <c r="C129" s="116"/>
      <c r="D129" s="109">
        <v>0</v>
      </c>
      <c r="E129" s="116">
        <v>100</v>
      </c>
      <c r="F129" s="116">
        <v>0</v>
      </c>
      <c r="G129" s="116">
        <v>100</v>
      </c>
      <c r="H129" s="116">
        <v>0</v>
      </c>
      <c r="I129" s="116">
        <v>0</v>
      </c>
      <c r="J129" s="119">
        <v>0</v>
      </c>
      <c r="K129" s="111">
        <f t="shared" si="4"/>
        <v>0</v>
      </c>
      <c r="L129" s="111">
        <f t="shared" si="6"/>
        <v>0</v>
      </c>
      <c r="M129" s="111">
        <f t="shared" si="5"/>
        <v>0</v>
      </c>
      <c r="N129" s="116">
        <v>0</v>
      </c>
      <c r="O129" s="116">
        <v>0</v>
      </c>
      <c r="P129" s="116">
        <v>0</v>
      </c>
      <c r="Q129" s="116">
        <v>0</v>
      </c>
      <c r="R129" s="116">
        <v>0</v>
      </c>
      <c r="S129" s="116">
        <v>0</v>
      </c>
      <c r="T129" s="116">
        <v>0</v>
      </c>
      <c r="U129" s="116">
        <v>0</v>
      </c>
      <c r="V129" s="116">
        <v>0</v>
      </c>
      <c r="W129" s="116">
        <v>0</v>
      </c>
      <c r="X129" s="116">
        <v>0</v>
      </c>
      <c r="Y129" s="116">
        <v>0</v>
      </c>
      <c r="Z129" s="116">
        <v>0</v>
      </c>
      <c r="AA129" s="116">
        <v>0</v>
      </c>
      <c r="AB129" s="116">
        <v>0</v>
      </c>
      <c r="AC129" s="116">
        <v>0</v>
      </c>
      <c r="AD129" s="116">
        <v>0</v>
      </c>
      <c r="AE129" s="116">
        <v>0</v>
      </c>
      <c r="AF129" s="116">
        <v>0</v>
      </c>
      <c r="AG129" s="120"/>
      <c r="AH129" s="120"/>
    </row>
    <row r="130" spans="1:34" ht="13.5" thickBot="1">
      <c r="A130" s="107">
        <v>329</v>
      </c>
      <c r="B130" s="116" t="s">
        <v>48</v>
      </c>
      <c r="C130" s="116"/>
      <c r="D130" s="109">
        <v>0</v>
      </c>
      <c r="E130" s="116">
        <v>100</v>
      </c>
      <c r="F130" s="116">
        <v>0</v>
      </c>
      <c r="G130" s="116">
        <v>100</v>
      </c>
      <c r="H130" s="116">
        <v>0</v>
      </c>
      <c r="I130" s="116">
        <v>0</v>
      </c>
      <c r="J130" s="119">
        <v>0</v>
      </c>
      <c r="K130" s="111">
        <f t="shared" si="4"/>
        <v>0</v>
      </c>
      <c r="L130" s="111">
        <f t="shared" si="6"/>
        <v>0</v>
      </c>
      <c r="M130" s="111">
        <f t="shared" si="5"/>
        <v>0</v>
      </c>
      <c r="N130" s="116">
        <v>0</v>
      </c>
      <c r="O130" s="116">
        <v>0</v>
      </c>
      <c r="P130" s="116">
        <v>0</v>
      </c>
      <c r="Q130" s="116">
        <v>0</v>
      </c>
      <c r="R130" s="116">
        <v>0</v>
      </c>
      <c r="S130" s="116">
        <v>0</v>
      </c>
      <c r="T130" s="116">
        <v>0</v>
      </c>
      <c r="U130" s="116">
        <v>0</v>
      </c>
      <c r="V130" s="116">
        <v>0</v>
      </c>
      <c r="W130" s="116">
        <v>0</v>
      </c>
      <c r="X130" s="116">
        <v>0</v>
      </c>
      <c r="Y130" s="116">
        <v>0</v>
      </c>
      <c r="Z130" s="116">
        <v>0</v>
      </c>
      <c r="AA130" s="116">
        <v>0</v>
      </c>
      <c r="AB130" s="116">
        <v>0</v>
      </c>
      <c r="AC130" s="116">
        <v>0</v>
      </c>
      <c r="AD130" s="116">
        <v>0</v>
      </c>
      <c r="AE130" s="116">
        <v>0</v>
      </c>
      <c r="AF130" s="116">
        <v>0</v>
      </c>
      <c r="AG130" s="120"/>
      <c r="AH130" s="120"/>
    </row>
    <row r="131" spans="1:34" ht="13.5" thickBot="1">
      <c r="A131" s="107">
        <v>330</v>
      </c>
      <c r="B131" s="116" t="s">
        <v>48</v>
      </c>
      <c r="C131" s="116"/>
      <c r="D131" s="109">
        <v>0</v>
      </c>
      <c r="E131" s="116">
        <v>100</v>
      </c>
      <c r="F131" s="116">
        <v>0</v>
      </c>
      <c r="G131" s="116">
        <v>100</v>
      </c>
      <c r="H131" s="116">
        <v>0</v>
      </c>
      <c r="I131" s="116">
        <v>0</v>
      </c>
      <c r="J131" s="119">
        <v>0</v>
      </c>
      <c r="K131" s="111">
        <f t="shared" ref="K131:K184" si="7">(J131*0.01*4.409*0.82)/2.2</f>
        <v>0</v>
      </c>
      <c r="L131" s="111">
        <f t="shared" si="6"/>
        <v>0</v>
      </c>
      <c r="M131" s="111">
        <f t="shared" ref="M131:M184" si="8">IF(J131=0,0,(1.42*(J131*0.01*4.409*0.82)-0.174*(J131*0.01*4.409*0.82)^2+0.0122*(J131*0.01*4.409*0.82)^3-1.65)/2.2)</f>
        <v>0</v>
      </c>
      <c r="N131" s="116">
        <v>0</v>
      </c>
      <c r="O131" s="116">
        <v>0</v>
      </c>
      <c r="P131" s="116">
        <v>0</v>
      </c>
      <c r="Q131" s="116">
        <v>0</v>
      </c>
      <c r="R131" s="116">
        <v>0</v>
      </c>
      <c r="S131" s="116">
        <v>0</v>
      </c>
      <c r="T131" s="116">
        <v>0</v>
      </c>
      <c r="U131" s="116">
        <v>0</v>
      </c>
      <c r="V131" s="116">
        <v>0</v>
      </c>
      <c r="W131" s="116">
        <v>0</v>
      </c>
      <c r="X131" s="116">
        <v>0</v>
      </c>
      <c r="Y131" s="116">
        <v>0</v>
      </c>
      <c r="Z131" s="116">
        <v>0</v>
      </c>
      <c r="AA131" s="116">
        <v>0</v>
      </c>
      <c r="AB131" s="116">
        <v>0</v>
      </c>
      <c r="AC131" s="116">
        <v>0</v>
      </c>
      <c r="AD131" s="116">
        <v>0</v>
      </c>
      <c r="AE131" s="116">
        <v>0</v>
      </c>
      <c r="AF131" s="116">
        <v>0</v>
      </c>
      <c r="AG131" s="120"/>
      <c r="AH131" s="120"/>
    </row>
    <row r="132" spans="1:34" ht="13.5" thickBot="1">
      <c r="A132" s="107">
        <v>331</v>
      </c>
      <c r="B132" s="116" t="s">
        <v>48</v>
      </c>
      <c r="C132" s="116"/>
      <c r="D132" s="109">
        <v>0</v>
      </c>
      <c r="E132" s="116">
        <v>100</v>
      </c>
      <c r="F132" s="116">
        <v>0</v>
      </c>
      <c r="G132" s="116">
        <v>100</v>
      </c>
      <c r="H132" s="116">
        <v>0</v>
      </c>
      <c r="I132" s="116">
        <v>0</v>
      </c>
      <c r="J132" s="119">
        <v>0</v>
      </c>
      <c r="K132" s="111">
        <f t="shared" si="7"/>
        <v>0</v>
      </c>
      <c r="L132" s="111">
        <f t="shared" si="6"/>
        <v>0</v>
      </c>
      <c r="M132" s="111">
        <f t="shared" si="8"/>
        <v>0</v>
      </c>
      <c r="N132" s="116">
        <v>0</v>
      </c>
      <c r="O132" s="116">
        <v>0</v>
      </c>
      <c r="P132" s="116">
        <v>0</v>
      </c>
      <c r="Q132" s="116">
        <v>0</v>
      </c>
      <c r="R132" s="116">
        <v>0</v>
      </c>
      <c r="S132" s="116">
        <v>0</v>
      </c>
      <c r="T132" s="116">
        <v>0</v>
      </c>
      <c r="U132" s="116">
        <v>0</v>
      </c>
      <c r="V132" s="116">
        <v>0</v>
      </c>
      <c r="W132" s="116">
        <v>0</v>
      </c>
      <c r="X132" s="116">
        <v>0</v>
      </c>
      <c r="Y132" s="116">
        <v>0</v>
      </c>
      <c r="Z132" s="116">
        <v>0</v>
      </c>
      <c r="AA132" s="116">
        <v>0</v>
      </c>
      <c r="AB132" s="116">
        <v>0</v>
      </c>
      <c r="AC132" s="116">
        <v>0</v>
      </c>
      <c r="AD132" s="116">
        <v>0</v>
      </c>
      <c r="AE132" s="116">
        <v>0</v>
      </c>
      <c r="AF132" s="116">
        <v>0</v>
      </c>
      <c r="AG132" s="120"/>
      <c r="AH132" s="120"/>
    </row>
    <row r="133" spans="1:34" ht="13.5" thickBot="1">
      <c r="A133" s="107">
        <v>332</v>
      </c>
      <c r="B133" s="116" t="s">
        <v>48</v>
      </c>
      <c r="C133" s="116"/>
      <c r="D133" s="109">
        <v>0</v>
      </c>
      <c r="E133" s="116">
        <v>100</v>
      </c>
      <c r="F133" s="116">
        <v>0</v>
      </c>
      <c r="G133" s="116">
        <v>100</v>
      </c>
      <c r="H133" s="116">
        <v>0</v>
      </c>
      <c r="I133" s="116">
        <v>0</v>
      </c>
      <c r="J133" s="119">
        <v>0</v>
      </c>
      <c r="K133" s="111">
        <f t="shared" si="7"/>
        <v>0</v>
      </c>
      <c r="L133" s="111">
        <f t="shared" si="6"/>
        <v>0</v>
      </c>
      <c r="M133" s="111">
        <f t="shared" si="8"/>
        <v>0</v>
      </c>
      <c r="N133" s="116">
        <v>0</v>
      </c>
      <c r="O133" s="116">
        <v>0</v>
      </c>
      <c r="P133" s="116">
        <v>0</v>
      </c>
      <c r="Q133" s="116">
        <v>0</v>
      </c>
      <c r="R133" s="116">
        <v>0</v>
      </c>
      <c r="S133" s="116">
        <v>0</v>
      </c>
      <c r="T133" s="116">
        <v>0</v>
      </c>
      <c r="U133" s="116">
        <v>0</v>
      </c>
      <c r="V133" s="116">
        <v>0</v>
      </c>
      <c r="W133" s="116">
        <v>0</v>
      </c>
      <c r="X133" s="116">
        <v>0</v>
      </c>
      <c r="Y133" s="116">
        <v>0</v>
      </c>
      <c r="Z133" s="116">
        <v>0</v>
      </c>
      <c r="AA133" s="116">
        <v>0</v>
      </c>
      <c r="AB133" s="116">
        <v>0</v>
      </c>
      <c r="AC133" s="116">
        <v>0</v>
      </c>
      <c r="AD133" s="116">
        <v>0</v>
      </c>
      <c r="AE133" s="116">
        <v>0</v>
      </c>
      <c r="AF133" s="116">
        <v>0</v>
      </c>
      <c r="AG133" s="120"/>
      <c r="AH133" s="120"/>
    </row>
    <row r="134" spans="1:34" ht="13.5" thickBot="1">
      <c r="A134" s="107">
        <v>333</v>
      </c>
      <c r="B134" s="116" t="s">
        <v>48</v>
      </c>
      <c r="C134" s="116"/>
      <c r="D134" s="109">
        <v>0</v>
      </c>
      <c r="E134" s="116">
        <v>100</v>
      </c>
      <c r="F134" s="116">
        <v>0</v>
      </c>
      <c r="G134" s="116">
        <v>100</v>
      </c>
      <c r="H134" s="116">
        <v>0</v>
      </c>
      <c r="I134" s="116">
        <v>0</v>
      </c>
      <c r="J134" s="119">
        <v>0</v>
      </c>
      <c r="K134" s="111">
        <f t="shared" si="7"/>
        <v>0</v>
      </c>
      <c r="L134" s="111">
        <f t="shared" si="6"/>
        <v>0</v>
      </c>
      <c r="M134" s="111">
        <f t="shared" si="8"/>
        <v>0</v>
      </c>
      <c r="N134" s="116">
        <v>0</v>
      </c>
      <c r="O134" s="116">
        <v>0</v>
      </c>
      <c r="P134" s="116">
        <v>0</v>
      </c>
      <c r="Q134" s="116">
        <v>0</v>
      </c>
      <c r="R134" s="116">
        <v>0</v>
      </c>
      <c r="S134" s="116">
        <v>0</v>
      </c>
      <c r="T134" s="116">
        <v>0</v>
      </c>
      <c r="U134" s="116">
        <v>0</v>
      </c>
      <c r="V134" s="116">
        <v>0</v>
      </c>
      <c r="W134" s="116">
        <v>0</v>
      </c>
      <c r="X134" s="116">
        <v>0</v>
      </c>
      <c r="Y134" s="116">
        <v>0</v>
      </c>
      <c r="Z134" s="116">
        <v>0</v>
      </c>
      <c r="AA134" s="116">
        <v>0</v>
      </c>
      <c r="AB134" s="116">
        <v>0</v>
      </c>
      <c r="AC134" s="116">
        <v>0</v>
      </c>
      <c r="AD134" s="116">
        <v>0</v>
      </c>
      <c r="AE134" s="116">
        <v>0</v>
      </c>
      <c r="AF134" s="116">
        <v>0</v>
      </c>
      <c r="AG134" s="120"/>
      <c r="AH134" s="120"/>
    </row>
    <row r="135" spans="1:34" ht="13.5" thickBot="1">
      <c r="A135" s="107">
        <v>334</v>
      </c>
      <c r="B135" s="116" t="s">
        <v>48</v>
      </c>
      <c r="C135" s="116"/>
      <c r="D135" s="109">
        <v>0</v>
      </c>
      <c r="E135" s="116">
        <v>100</v>
      </c>
      <c r="F135" s="116">
        <v>0</v>
      </c>
      <c r="G135" s="116">
        <v>100</v>
      </c>
      <c r="H135" s="116">
        <v>0</v>
      </c>
      <c r="I135" s="116">
        <v>0</v>
      </c>
      <c r="J135" s="119">
        <v>0</v>
      </c>
      <c r="K135" s="111">
        <f t="shared" si="7"/>
        <v>0</v>
      </c>
      <c r="L135" s="111">
        <f t="shared" si="6"/>
        <v>0</v>
      </c>
      <c r="M135" s="111">
        <f t="shared" si="8"/>
        <v>0</v>
      </c>
      <c r="N135" s="116">
        <v>0</v>
      </c>
      <c r="O135" s="116">
        <v>0</v>
      </c>
      <c r="P135" s="116">
        <v>0</v>
      </c>
      <c r="Q135" s="116">
        <v>0</v>
      </c>
      <c r="R135" s="116">
        <v>0</v>
      </c>
      <c r="S135" s="116">
        <v>0</v>
      </c>
      <c r="T135" s="116">
        <v>0</v>
      </c>
      <c r="U135" s="116">
        <v>0</v>
      </c>
      <c r="V135" s="116">
        <v>0</v>
      </c>
      <c r="W135" s="116">
        <v>0</v>
      </c>
      <c r="X135" s="116">
        <v>0</v>
      </c>
      <c r="Y135" s="116">
        <v>0</v>
      </c>
      <c r="Z135" s="116">
        <v>0</v>
      </c>
      <c r="AA135" s="116">
        <v>0</v>
      </c>
      <c r="AB135" s="116">
        <v>0</v>
      </c>
      <c r="AC135" s="116">
        <v>0</v>
      </c>
      <c r="AD135" s="116">
        <v>0</v>
      </c>
      <c r="AE135" s="116">
        <v>0</v>
      </c>
      <c r="AF135" s="116">
        <v>0</v>
      </c>
      <c r="AG135" s="120"/>
      <c r="AH135" s="120"/>
    </row>
    <row r="136" spans="1:34" ht="13.5" thickBot="1">
      <c r="A136" s="107">
        <v>335</v>
      </c>
      <c r="B136" s="116" t="s">
        <v>48</v>
      </c>
      <c r="C136" s="116"/>
      <c r="D136" s="109">
        <v>0</v>
      </c>
      <c r="E136" s="116">
        <v>100</v>
      </c>
      <c r="F136" s="116">
        <v>0</v>
      </c>
      <c r="G136" s="116">
        <v>100</v>
      </c>
      <c r="H136" s="116">
        <v>0</v>
      </c>
      <c r="I136" s="116">
        <v>0</v>
      </c>
      <c r="J136" s="119">
        <v>0</v>
      </c>
      <c r="K136" s="111">
        <f t="shared" si="7"/>
        <v>0</v>
      </c>
      <c r="L136" s="111">
        <f t="shared" si="6"/>
        <v>0</v>
      </c>
      <c r="M136" s="111">
        <f t="shared" si="8"/>
        <v>0</v>
      </c>
      <c r="N136" s="116">
        <v>0</v>
      </c>
      <c r="O136" s="116">
        <v>0</v>
      </c>
      <c r="P136" s="116">
        <v>0</v>
      </c>
      <c r="Q136" s="116">
        <v>0</v>
      </c>
      <c r="R136" s="116">
        <v>0</v>
      </c>
      <c r="S136" s="116">
        <v>0</v>
      </c>
      <c r="T136" s="116">
        <v>0</v>
      </c>
      <c r="U136" s="116">
        <v>0</v>
      </c>
      <c r="V136" s="116">
        <v>0</v>
      </c>
      <c r="W136" s="116">
        <v>0</v>
      </c>
      <c r="X136" s="116">
        <v>0</v>
      </c>
      <c r="Y136" s="116">
        <v>0</v>
      </c>
      <c r="Z136" s="116">
        <v>0</v>
      </c>
      <c r="AA136" s="116">
        <v>0</v>
      </c>
      <c r="AB136" s="116">
        <v>0</v>
      </c>
      <c r="AC136" s="116">
        <v>0</v>
      </c>
      <c r="AD136" s="116">
        <v>0</v>
      </c>
      <c r="AE136" s="116">
        <v>0</v>
      </c>
      <c r="AF136" s="116">
        <v>0</v>
      </c>
      <c r="AG136" s="120"/>
      <c r="AH136" s="120"/>
    </row>
    <row r="137" spans="1:34" ht="13.5" thickBot="1">
      <c r="A137" s="107">
        <v>336</v>
      </c>
      <c r="B137" s="116" t="s">
        <v>48</v>
      </c>
      <c r="C137" s="116"/>
      <c r="D137" s="109">
        <v>0</v>
      </c>
      <c r="E137" s="116">
        <v>100</v>
      </c>
      <c r="F137" s="116">
        <v>0</v>
      </c>
      <c r="G137" s="116">
        <v>100</v>
      </c>
      <c r="H137" s="116">
        <v>0</v>
      </c>
      <c r="I137" s="116">
        <v>0</v>
      </c>
      <c r="J137" s="119">
        <v>0</v>
      </c>
      <c r="K137" s="111">
        <f t="shared" si="7"/>
        <v>0</v>
      </c>
      <c r="L137" s="111">
        <f t="shared" si="6"/>
        <v>0</v>
      </c>
      <c r="M137" s="111">
        <f t="shared" si="8"/>
        <v>0</v>
      </c>
      <c r="N137" s="116">
        <v>0</v>
      </c>
      <c r="O137" s="116">
        <v>0</v>
      </c>
      <c r="P137" s="116">
        <v>0</v>
      </c>
      <c r="Q137" s="116">
        <v>0</v>
      </c>
      <c r="R137" s="116">
        <v>0</v>
      </c>
      <c r="S137" s="116">
        <v>0</v>
      </c>
      <c r="T137" s="116">
        <v>0</v>
      </c>
      <c r="U137" s="116">
        <v>0</v>
      </c>
      <c r="V137" s="116">
        <v>0</v>
      </c>
      <c r="W137" s="116">
        <v>0</v>
      </c>
      <c r="X137" s="116">
        <v>0</v>
      </c>
      <c r="Y137" s="116">
        <v>0</v>
      </c>
      <c r="Z137" s="116">
        <v>0</v>
      </c>
      <c r="AA137" s="116">
        <v>0</v>
      </c>
      <c r="AB137" s="116">
        <v>0</v>
      </c>
      <c r="AC137" s="116">
        <v>0</v>
      </c>
      <c r="AD137" s="116">
        <v>0</v>
      </c>
      <c r="AE137" s="116">
        <v>0</v>
      </c>
      <c r="AF137" s="116">
        <v>0</v>
      </c>
      <c r="AG137" s="120"/>
      <c r="AH137" s="120"/>
    </row>
    <row r="138" spans="1:34" ht="13.5" thickBot="1">
      <c r="A138" s="107">
        <v>337</v>
      </c>
      <c r="B138" s="116" t="s">
        <v>48</v>
      </c>
      <c r="C138" s="116"/>
      <c r="D138" s="109">
        <v>0</v>
      </c>
      <c r="E138" s="116">
        <v>100</v>
      </c>
      <c r="F138" s="116">
        <v>0</v>
      </c>
      <c r="G138" s="116">
        <v>100</v>
      </c>
      <c r="H138" s="116">
        <v>0</v>
      </c>
      <c r="I138" s="116">
        <v>0</v>
      </c>
      <c r="J138" s="119">
        <v>0</v>
      </c>
      <c r="K138" s="111">
        <f t="shared" si="7"/>
        <v>0</v>
      </c>
      <c r="L138" s="111">
        <f t="shared" si="6"/>
        <v>0</v>
      </c>
      <c r="M138" s="111">
        <f t="shared" si="8"/>
        <v>0</v>
      </c>
      <c r="N138" s="116">
        <v>0</v>
      </c>
      <c r="O138" s="116">
        <v>0</v>
      </c>
      <c r="P138" s="116">
        <v>0</v>
      </c>
      <c r="Q138" s="116">
        <v>0</v>
      </c>
      <c r="R138" s="116">
        <v>0</v>
      </c>
      <c r="S138" s="116">
        <v>0</v>
      </c>
      <c r="T138" s="116">
        <v>0</v>
      </c>
      <c r="U138" s="116">
        <v>0</v>
      </c>
      <c r="V138" s="116">
        <v>0</v>
      </c>
      <c r="W138" s="116">
        <v>0</v>
      </c>
      <c r="X138" s="116">
        <v>0</v>
      </c>
      <c r="Y138" s="116">
        <v>0</v>
      </c>
      <c r="Z138" s="116">
        <v>0</v>
      </c>
      <c r="AA138" s="116">
        <v>0</v>
      </c>
      <c r="AB138" s="116">
        <v>0</v>
      </c>
      <c r="AC138" s="116">
        <v>0</v>
      </c>
      <c r="AD138" s="116">
        <v>0</v>
      </c>
      <c r="AE138" s="116">
        <v>0</v>
      </c>
      <c r="AF138" s="116">
        <v>0</v>
      </c>
      <c r="AG138" s="120"/>
      <c r="AH138" s="120"/>
    </row>
    <row r="139" spans="1:34" ht="13.5" thickBot="1">
      <c r="A139" s="107">
        <v>338</v>
      </c>
      <c r="B139" s="116" t="s">
        <v>48</v>
      </c>
      <c r="C139" s="116"/>
      <c r="D139" s="109">
        <v>0</v>
      </c>
      <c r="E139" s="116">
        <v>100</v>
      </c>
      <c r="F139" s="116">
        <v>0</v>
      </c>
      <c r="G139" s="116">
        <v>100</v>
      </c>
      <c r="H139" s="116">
        <v>0</v>
      </c>
      <c r="I139" s="116">
        <v>0</v>
      </c>
      <c r="J139" s="119">
        <v>0</v>
      </c>
      <c r="K139" s="111">
        <f t="shared" si="7"/>
        <v>0</v>
      </c>
      <c r="L139" s="111">
        <f t="shared" si="6"/>
        <v>0</v>
      </c>
      <c r="M139" s="111">
        <f t="shared" si="8"/>
        <v>0</v>
      </c>
      <c r="N139" s="116">
        <v>0</v>
      </c>
      <c r="O139" s="116">
        <v>0</v>
      </c>
      <c r="P139" s="116">
        <v>0</v>
      </c>
      <c r="Q139" s="116">
        <v>0</v>
      </c>
      <c r="R139" s="116">
        <v>0</v>
      </c>
      <c r="S139" s="116">
        <v>0</v>
      </c>
      <c r="T139" s="116">
        <v>0</v>
      </c>
      <c r="U139" s="116">
        <v>0</v>
      </c>
      <c r="V139" s="116">
        <v>0</v>
      </c>
      <c r="W139" s="116">
        <v>0</v>
      </c>
      <c r="X139" s="116">
        <v>0</v>
      </c>
      <c r="Y139" s="116">
        <v>0</v>
      </c>
      <c r="Z139" s="116">
        <v>0</v>
      </c>
      <c r="AA139" s="116">
        <v>0</v>
      </c>
      <c r="AB139" s="116">
        <v>0</v>
      </c>
      <c r="AC139" s="116">
        <v>0</v>
      </c>
      <c r="AD139" s="116">
        <v>0</v>
      </c>
      <c r="AE139" s="116">
        <v>0</v>
      </c>
      <c r="AF139" s="116">
        <v>0</v>
      </c>
      <c r="AG139" s="120"/>
      <c r="AH139" s="120"/>
    </row>
    <row r="140" spans="1:34" ht="13.5" thickBot="1">
      <c r="A140" s="107">
        <v>339</v>
      </c>
      <c r="B140" s="116" t="s">
        <v>48</v>
      </c>
      <c r="C140" s="116"/>
      <c r="D140" s="109">
        <v>0</v>
      </c>
      <c r="E140" s="116">
        <v>100</v>
      </c>
      <c r="F140" s="116">
        <v>0</v>
      </c>
      <c r="G140" s="116">
        <v>100</v>
      </c>
      <c r="H140" s="116">
        <v>0</v>
      </c>
      <c r="I140" s="116">
        <v>0</v>
      </c>
      <c r="J140" s="119">
        <v>0</v>
      </c>
      <c r="K140" s="111">
        <f t="shared" si="7"/>
        <v>0</v>
      </c>
      <c r="L140" s="111">
        <f t="shared" si="6"/>
        <v>0</v>
      </c>
      <c r="M140" s="111">
        <f t="shared" si="8"/>
        <v>0</v>
      </c>
      <c r="N140" s="116">
        <v>0</v>
      </c>
      <c r="O140" s="116">
        <v>0</v>
      </c>
      <c r="P140" s="116">
        <v>0</v>
      </c>
      <c r="Q140" s="116">
        <v>0</v>
      </c>
      <c r="R140" s="116">
        <v>0</v>
      </c>
      <c r="S140" s="116">
        <v>0</v>
      </c>
      <c r="T140" s="116">
        <v>0</v>
      </c>
      <c r="U140" s="116">
        <v>0</v>
      </c>
      <c r="V140" s="116">
        <v>0</v>
      </c>
      <c r="W140" s="116">
        <v>0</v>
      </c>
      <c r="X140" s="116">
        <v>0</v>
      </c>
      <c r="Y140" s="116">
        <v>0</v>
      </c>
      <c r="Z140" s="116">
        <v>0</v>
      </c>
      <c r="AA140" s="116">
        <v>0</v>
      </c>
      <c r="AB140" s="116">
        <v>0</v>
      </c>
      <c r="AC140" s="116">
        <v>0</v>
      </c>
      <c r="AD140" s="116">
        <v>0</v>
      </c>
      <c r="AE140" s="116">
        <v>0</v>
      </c>
      <c r="AF140" s="116">
        <v>0</v>
      </c>
      <c r="AG140" s="120"/>
      <c r="AH140" s="120"/>
    </row>
    <row r="141" spans="1:34" ht="13.5" thickBot="1">
      <c r="A141" s="107">
        <v>340</v>
      </c>
      <c r="B141" s="116" t="s">
        <v>48</v>
      </c>
      <c r="C141" s="116"/>
      <c r="D141" s="109">
        <v>0</v>
      </c>
      <c r="E141" s="116">
        <v>100</v>
      </c>
      <c r="F141" s="116">
        <v>0</v>
      </c>
      <c r="G141" s="116">
        <v>100</v>
      </c>
      <c r="H141" s="116">
        <v>0</v>
      </c>
      <c r="I141" s="116">
        <v>0</v>
      </c>
      <c r="J141" s="119">
        <v>0</v>
      </c>
      <c r="K141" s="111">
        <f t="shared" si="7"/>
        <v>0</v>
      </c>
      <c r="L141" s="111">
        <f t="shared" si="6"/>
        <v>0</v>
      </c>
      <c r="M141" s="111">
        <f t="shared" si="8"/>
        <v>0</v>
      </c>
      <c r="N141" s="116">
        <v>0</v>
      </c>
      <c r="O141" s="116">
        <v>0</v>
      </c>
      <c r="P141" s="116">
        <v>0</v>
      </c>
      <c r="Q141" s="116">
        <v>0</v>
      </c>
      <c r="R141" s="116">
        <v>0</v>
      </c>
      <c r="S141" s="116">
        <v>0</v>
      </c>
      <c r="T141" s="116">
        <v>0</v>
      </c>
      <c r="U141" s="116">
        <v>0</v>
      </c>
      <c r="V141" s="116">
        <v>0</v>
      </c>
      <c r="W141" s="116">
        <v>0</v>
      </c>
      <c r="X141" s="116">
        <v>0</v>
      </c>
      <c r="Y141" s="116">
        <v>0</v>
      </c>
      <c r="Z141" s="116">
        <v>0</v>
      </c>
      <c r="AA141" s="116">
        <v>0</v>
      </c>
      <c r="AB141" s="116">
        <v>0</v>
      </c>
      <c r="AC141" s="116">
        <v>0</v>
      </c>
      <c r="AD141" s="116">
        <v>0</v>
      </c>
      <c r="AE141" s="116">
        <v>0</v>
      </c>
      <c r="AF141" s="116">
        <v>0</v>
      </c>
      <c r="AG141" s="120"/>
      <c r="AH141" s="120"/>
    </row>
    <row r="142" spans="1:34" ht="13.5" thickBot="1">
      <c r="A142" s="107">
        <v>401</v>
      </c>
      <c r="B142" s="107" t="s">
        <v>126</v>
      </c>
      <c r="C142" s="107" t="s">
        <v>125</v>
      </c>
      <c r="D142" s="109">
        <v>0</v>
      </c>
      <c r="E142" s="107">
        <v>100</v>
      </c>
      <c r="F142" s="107">
        <v>0</v>
      </c>
      <c r="G142" s="107">
        <v>93</v>
      </c>
      <c r="H142" s="107">
        <v>46</v>
      </c>
      <c r="I142" s="107">
        <v>34</v>
      </c>
      <c r="J142" s="110">
        <v>71</v>
      </c>
      <c r="K142" s="111">
        <f t="shared" si="7"/>
        <v>1.166781727272727</v>
      </c>
      <c r="L142" s="111">
        <f t="shared" ref="L142:L194" si="9">IF(J142 = 0,0,(1.37*(J142*0.01*4.409*0.82)-0.138*(J142*0.01*4.409*0.82)^2+0.0105*(J142*0.01*4.409*0.82)^3-1.12)/2.2)</f>
        <v>0.75680936792105002</v>
      </c>
      <c r="M142" s="111">
        <f t="shared" si="8"/>
        <v>0.47948772453548699</v>
      </c>
      <c r="N142" s="107">
        <v>28.1</v>
      </c>
      <c r="O142" s="107">
        <v>64.169137999610612</v>
      </c>
      <c r="P142" s="107">
        <v>1.4</v>
      </c>
      <c r="Q142" s="107">
        <v>0.19</v>
      </c>
      <c r="R142" s="107">
        <v>0.68</v>
      </c>
      <c r="S142" s="107">
        <v>0.18</v>
      </c>
      <c r="T142" s="107">
        <v>0.27</v>
      </c>
      <c r="U142" s="107">
        <v>0.95</v>
      </c>
      <c r="V142" s="107">
        <v>0.85</v>
      </c>
      <c r="W142" s="107">
        <v>0</v>
      </c>
      <c r="X142" s="107">
        <v>6.3</v>
      </c>
      <c r="Y142" s="107">
        <v>0</v>
      </c>
      <c r="Z142" s="107">
        <v>200</v>
      </c>
      <c r="AA142" s="107">
        <v>31.7</v>
      </c>
      <c r="AB142" s="107">
        <v>0.44800000000000001</v>
      </c>
      <c r="AC142" s="107">
        <v>60.7</v>
      </c>
      <c r="AD142" s="107">
        <v>0</v>
      </c>
      <c r="AE142" s="107">
        <v>0</v>
      </c>
      <c r="AF142" s="107">
        <v>4</v>
      </c>
      <c r="AG142" s="112"/>
      <c r="AH142" s="112"/>
    </row>
    <row r="143" spans="1:34" ht="13.5" thickBot="1">
      <c r="A143" s="107">
        <v>402</v>
      </c>
      <c r="B143" s="107" t="s">
        <v>128</v>
      </c>
      <c r="C143" s="107" t="s">
        <v>127</v>
      </c>
      <c r="D143" s="109">
        <v>0</v>
      </c>
      <c r="E143" s="107">
        <v>100</v>
      </c>
      <c r="F143" s="107">
        <v>0</v>
      </c>
      <c r="G143" s="107">
        <v>88</v>
      </c>
      <c r="H143" s="107">
        <v>18.100000000000001</v>
      </c>
      <c r="I143" s="107">
        <v>34</v>
      </c>
      <c r="J143" s="110">
        <v>84</v>
      </c>
      <c r="K143" s="111">
        <f t="shared" si="7"/>
        <v>1.3804178181818179</v>
      </c>
      <c r="L143" s="111">
        <f t="shared" si="9"/>
        <v>0.9372354710413312</v>
      </c>
      <c r="M143" s="111">
        <f t="shared" si="8"/>
        <v>0.63607086875109964</v>
      </c>
      <c r="N143" s="107">
        <v>13.2</v>
      </c>
      <c r="O143" s="107">
        <v>66.928687661083998</v>
      </c>
      <c r="P143" s="107">
        <v>2.2000000000000002</v>
      </c>
      <c r="Q143" s="107">
        <v>0.05</v>
      </c>
      <c r="R143" s="107">
        <v>0.35</v>
      </c>
      <c r="S143" s="107">
        <v>0.12</v>
      </c>
      <c r="T143" s="107">
        <v>0.56999999999999995</v>
      </c>
      <c r="U143" s="107">
        <v>0.01</v>
      </c>
      <c r="V143" s="107">
        <v>0.15</v>
      </c>
      <c r="W143" s="107">
        <v>0.35</v>
      </c>
      <c r="X143" s="107">
        <v>5.3</v>
      </c>
      <c r="Y143" s="107">
        <v>0.05</v>
      </c>
      <c r="Z143" s="107">
        <v>59.5</v>
      </c>
      <c r="AA143" s="107">
        <v>18.3</v>
      </c>
      <c r="AB143" s="107">
        <v>0.17899999999999999</v>
      </c>
      <c r="AC143" s="107">
        <v>13</v>
      </c>
      <c r="AD143" s="107">
        <v>3.8</v>
      </c>
      <c r="AE143" s="107">
        <v>0</v>
      </c>
      <c r="AF143" s="107">
        <v>26.2</v>
      </c>
      <c r="AG143" s="112"/>
      <c r="AH143" s="112"/>
    </row>
    <row r="144" spans="1:34" ht="13.5" thickBot="1">
      <c r="A144" s="107">
        <v>403</v>
      </c>
      <c r="B144" s="107" t="s">
        <v>129</v>
      </c>
      <c r="C144" s="107"/>
      <c r="D144" s="109">
        <v>0</v>
      </c>
      <c r="E144" s="107">
        <v>100</v>
      </c>
      <c r="F144" s="107">
        <v>0</v>
      </c>
      <c r="G144" s="107">
        <v>88</v>
      </c>
      <c r="H144" s="107">
        <v>28</v>
      </c>
      <c r="I144" s="107">
        <v>34</v>
      </c>
      <c r="J144" s="110">
        <v>77</v>
      </c>
      <c r="K144" s="111">
        <f t="shared" si="7"/>
        <v>1.2653829999999999</v>
      </c>
      <c r="L144" s="111">
        <f t="shared" si="9"/>
        <v>0.84132887457262528</v>
      </c>
      <c r="M144" s="111">
        <f t="shared" si="8"/>
        <v>0.55354530499547361</v>
      </c>
      <c r="N144" s="107">
        <v>14</v>
      </c>
      <c r="O144" s="107">
        <v>66.928687661083984</v>
      </c>
      <c r="P144" s="107">
        <v>2.2999999999999998</v>
      </c>
      <c r="Q144" s="107">
        <v>0.06</v>
      </c>
      <c r="R144" s="107">
        <v>0.39</v>
      </c>
      <c r="S144" s="107">
        <v>0.15</v>
      </c>
      <c r="T144" s="107">
        <v>0.52</v>
      </c>
      <c r="U144" s="107">
        <v>0.03</v>
      </c>
      <c r="V144" s="107">
        <v>0.17</v>
      </c>
      <c r="W144" s="107">
        <v>0.193</v>
      </c>
      <c r="X144" s="107">
        <v>8.6</v>
      </c>
      <c r="Y144" s="107">
        <v>0.05</v>
      </c>
      <c r="Z144" s="107">
        <v>90</v>
      </c>
      <c r="AA144" s="107">
        <v>18.100000000000001</v>
      </c>
      <c r="AB144" s="107">
        <v>0.17899999999999999</v>
      </c>
      <c r="AC144" s="107">
        <v>44.4</v>
      </c>
      <c r="AD144" s="107">
        <v>3.8</v>
      </c>
      <c r="AE144" s="107">
        <v>0</v>
      </c>
      <c r="AF144" s="107">
        <v>26.2</v>
      </c>
      <c r="AG144" s="112"/>
      <c r="AH144" s="112"/>
    </row>
    <row r="145" spans="1:34" ht="13.5" thickBot="1">
      <c r="A145" s="107">
        <v>404</v>
      </c>
      <c r="B145" s="107" t="s">
        <v>131</v>
      </c>
      <c r="C145" s="107" t="s">
        <v>130</v>
      </c>
      <c r="D145" s="109">
        <v>0</v>
      </c>
      <c r="E145" s="107">
        <v>100</v>
      </c>
      <c r="F145" s="107">
        <v>0</v>
      </c>
      <c r="G145" s="107">
        <v>90</v>
      </c>
      <c r="H145" s="107">
        <v>23</v>
      </c>
      <c r="I145" s="107">
        <v>9</v>
      </c>
      <c r="J145" s="110">
        <v>91</v>
      </c>
      <c r="K145" s="111">
        <f t="shared" si="7"/>
        <v>1.4954526363636365</v>
      </c>
      <c r="L145" s="111">
        <f t="shared" si="9"/>
        <v>1.0306769828358928</v>
      </c>
      <c r="M145" s="111">
        <f t="shared" si="8"/>
        <v>0.71493704844654704</v>
      </c>
      <c r="N145" s="107">
        <v>11.5</v>
      </c>
      <c r="O145" s="107">
        <v>47.492027274637771</v>
      </c>
      <c r="P145" s="107">
        <v>7.3</v>
      </c>
      <c r="Q145" s="107">
        <v>0.05</v>
      </c>
      <c r="R145" s="107">
        <v>0.56999999999999995</v>
      </c>
      <c r="S145" s="107">
        <v>0.26</v>
      </c>
      <c r="T145" s="107">
        <v>0.65</v>
      </c>
      <c r="U145" s="107">
        <v>0.09</v>
      </c>
      <c r="V145" s="107">
        <v>0.03</v>
      </c>
      <c r="W145" s="107">
        <v>6.0999999999999999E-2</v>
      </c>
      <c r="X145" s="107">
        <v>15.1</v>
      </c>
      <c r="Y145" s="107">
        <v>0</v>
      </c>
      <c r="Z145" s="107">
        <v>80</v>
      </c>
      <c r="AA145" s="107">
        <v>16.100000000000001</v>
      </c>
      <c r="AB145" s="107">
        <v>0</v>
      </c>
      <c r="AC145" s="107">
        <v>0</v>
      </c>
      <c r="AD145" s="107">
        <v>0</v>
      </c>
      <c r="AE145" s="107">
        <v>0</v>
      </c>
      <c r="AF145" s="107">
        <v>0</v>
      </c>
      <c r="AG145" s="112"/>
      <c r="AH145" s="112"/>
    </row>
    <row r="146" spans="1:34" ht="13.5" thickBot="1">
      <c r="A146" s="107">
        <v>405</v>
      </c>
      <c r="B146" s="107" t="s">
        <v>133</v>
      </c>
      <c r="C146" s="107" t="s">
        <v>132</v>
      </c>
      <c r="D146" s="109">
        <v>7.5</v>
      </c>
      <c r="E146" s="107">
        <v>100</v>
      </c>
      <c r="F146" s="107">
        <v>0</v>
      </c>
      <c r="G146" s="107">
        <v>88</v>
      </c>
      <c r="H146" s="107">
        <v>10.8</v>
      </c>
      <c r="I146" s="107">
        <v>60</v>
      </c>
      <c r="J146" s="110">
        <v>90</v>
      </c>
      <c r="K146" s="111">
        <f t="shared" si="7"/>
        <v>1.4790190909090906</v>
      </c>
      <c r="L146" s="111">
        <f t="shared" si="9"/>
        <v>1.0174615266698315</v>
      </c>
      <c r="M146" s="111">
        <f t="shared" si="8"/>
        <v>0.70387405467082431</v>
      </c>
      <c r="N146" s="107">
        <v>9.8000000000000007</v>
      </c>
      <c r="O146" s="107">
        <v>44.669916113546392</v>
      </c>
      <c r="P146" s="107">
        <v>4.0599999999999996</v>
      </c>
      <c r="Q146" s="107">
        <v>0.03</v>
      </c>
      <c r="R146" s="107">
        <v>0.32</v>
      </c>
      <c r="S146" s="107">
        <v>0.12</v>
      </c>
      <c r="T146" s="107">
        <v>0.44</v>
      </c>
      <c r="U146" s="107">
        <v>0.01</v>
      </c>
      <c r="V146" s="107">
        <v>0.11</v>
      </c>
      <c r="W146" s="107">
        <v>0.31</v>
      </c>
      <c r="X146" s="107">
        <v>2.5099999999999998</v>
      </c>
      <c r="Y146" s="107">
        <v>0.03</v>
      </c>
      <c r="Z146" s="107">
        <v>54.5</v>
      </c>
      <c r="AA146" s="107">
        <v>7.9</v>
      </c>
      <c r="AB146" s="107">
        <v>0.14000000000000001</v>
      </c>
      <c r="AC146" s="107">
        <v>24.2</v>
      </c>
      <c r="AD146" s="107">
        <v>1</v>
      </c>
      <c r="AE146" s="107">
        <v>0</v>
      </c>
      <c r="AF146" s="107">
        <v>25</v>
      </c>
      <c r="AG146" s="112"/>
      <c r="AH146" s="112"/>
    </row>
    <row r="147" spans="1:34" ht="13.5" thickBot="1">
      <c r="A147" s="107">
        <v>406</v>
      </c>
      <c r="B147" s="107" t="s">
        <v>134</v>
      </c>
      <c r="C147" s="107"/>
      <c r="D147" s="109">
        <v>0</v>
      </c>
      <c r="E147" s="107">
        <v>100</v>
      </c>
      <c r="F147" s="107">
        <v>0</v>
      </c>
      <c r="G147" s="107">
        <v>86</v>
      </c>
      <c r="H147" s="107">
        <v>31</v>
      </c>
      <c r="I147" s="107">
        <v>56</v>
      </c>
      <c r="J147" s="110">
        <v>77</v>
      </c>
      <c r="K147" s="111">
        <f t="shared" si="7"/>
        <v>1.2653829999999999</v>
      </c>
      <c r="L147" s="111">
        <f t="shared" si="9"/>
        <v>0.84132887457262528</v>
      </c>
      <c r="M147" s="111">
        <f t="shared" si="8"/>
        <v>0.55354530499547361</v>
      </c>
      <c r="N147" s="107">
        <v>9</v>
      </c>
      <c r="O147" s="107">
        <v>46.030905639454069</v>
      </c>
      <c r="P147" s="107">
        <v>3.7</v>
      </c>
      <c r="Q147" s="107">
        <v>7.0000000000000007E-2</v>
      </c>
      <c r="R147" s="107">
        <v>0.27</v>
      </c>
      <c r="S147" s="107">
        <v>0.14000000000000001</v>
      </c>
      <c r="T147" s="107">
        <v>0.53</v>
      </c>
      <c r="U147" s="107">
        <v>0.02</v>
      </c>
      <c r="V147" s="107">
        <v>0.16</v>
      </c>
      <c r="W147" s="107">
        <v>0.31</v>
      </c>
      <c r="X147" s="107">
        <v>8</v>
      </c>
      <c r="Y147" s="107">
        <v>0.03</v>
      </c>
      <c r="Z147" s="107">
        <v>54.5</v>
      </c>
      <c r="AA147" s="107">
        <v>14</v>
      </c>
      <c r="AB147" s="107">
        <v>0.14000000000000001</v>
      </c>
      <c r="AC147" s="107">
        <v>14</v>
      </c>
      <c r="AD147" s="107">
        <v>0</v>
      </c>
      <c r="AE147" s="107">
        <v>0</v>
      </c>
      <c r="AF147" s="107">
        <v>0</v>
      </c>
      <c r="AG147" s="112"/>
      <c r="AH147" s="112"/>
    </row>
    <row r="148" spans="1:34" ht="13.5" thickBot="1">
      <c r="A148" s="107">
        <v>407</v>
      </c>
      <c r="B148" s="107" t="s">
        <v>136</v>
      </c>
      <c r="C148" s="107" t="s">
        <v>135</v>
      </c>
      <c r="D148" s="109">
        <v>0</v>
      </c>
      <c r="E148" s="107">
        <v>100</v>
      </c>
      <c r="F148" s="107">
        <v>0</v>
      </c>
      <c r="G148" s="107">
        <v>87</v>
      </c>
      <c r="H148" s="107">
        <v>28</v>
      </c>
      <c r="I148" s="107">
        <v>56</v>
      </c>
      <c r="J148" s="110">
        <v>82</v>
      </c>
      <c r="K148" s="111">
        <f t="shared" si="7"/>
        <v>1.3475507272727272</v>
      </c>
      <c r="L148" s="111">
        <f t="shared" si="9"/>
        <v>0.91010542441727682</v>
      </c>
      <c r="M148" s="111">
        <f t="shared" si="8"/>
        <v>0.61288912809212004</v>
      </c>
      <c r="N148" s="107">
        <v>9</v>
      </c>
      <c r="O148" s="107">
        <v>46.030905639454069</v>
      </c>
      <c r="P148" s="107">
        <v>3.7</v>
      </c>
      <c r="Q148" s="107">
        <v>7.0000000000000007E-2</v>
      </c>
      <c r="R148" s="107">
        <v>0.27</v>
      </c>
      <c r="S148" s="107">
        <v>0.14000000000000001</v>
      </c>
      <c r="T148" s="107">
        <v>0.53</v>
      </c>
      <c r="U148" s="107">
        <v>0.02</v>
      </c>
      <c r="V148" s="107">
        <v>0.16</v>
      </c>
      <c r="W148" s="107">
        <v>0.19</v>
      </c>
      <c r="X148" s="107">
        <v>8</v>
      </c>
      <c r="Y148" s="107">
        <v>0.03</v>
      </c>
      <c r="Z148" s="107">
        <v>91</v>
      </c>
      <c r="AA148" s="107">
        <v>23</v>
      </c>
      <c r="AB148" s="107">
        <v>7.0000000000000007E-2</v>
      </c>
      <c r="AC148" s="107">
        <v>14</v>
      </c>
      <c r="AD148" s="107">
        <v>1.5E-3</v>
      </c>
      <c r="AE148" s="107">
        <v>0</v>
      </c>
      <c r="AF148" s="107">
        <v>0</v>
      </c>
      <c r="AG148" s="112"/>
      <c r="AH148" s="112"/>
    </row>
    <row r="149" spans="1:34" ht="13.5" thickBot="1">
      <c r="A149" s="107">
        <v>408</v>
      </c>
      <c r="B149" s="107" t="s">
        <v>137</v>
      </c>
      <c r="C149" s="107"/>
      <c r="D149" s="109">
        <v>0</v>
      </c>
      <c r="E149" s="107">
        <v>100</v>
      </c>
      <c r="F149" s="107">
        <v>0</v>
      </c>
      <c r="G149" s="107">
        <v>88</v>
      </c>
      <c r="H149" s="107">
        <v>10</v>
      </c>
      <c r="I149" s="107">
        <v>60</v>
      </c>
      <c r="J149" s="110">
        <v>88</v>
      </c>
      <c r="K149" s="111">
        <f t="shared" si="7"/>
        <v>1.4461519999999999</v>
      </c>
      <c r="L149" s="111">
        <f t="shared" si="9"/>
        <v>0.99090269612556781</v>
      </c>
      <c r="M149" s="111">
        <f t="shared" si="8"/>
        <v>0.68155075321065228</v>
      </c>
      <c r="N149" s="107">
        <v>9.8000000000000007</v>
      </c>
      <c r="O149" s="107">
        <v>41.223167861360146</v>
      </c>
      <c r="P149" s="107">
        <v>4.3</v>
      </c>
      <c r="Q149" s="107">
        <v>0.04</v>
      </c>
      <c r="R149" s="107">
        <v>0.3</v>
      </c>
      <c r="S149" s="107">
        <v>0.15</v>
      </c>
      <c r="T149" s="107">
        <v>0.32</v>
      </c>
      <c r="U149" s="107">
        <v>0.01</v>
      </c>
      <c r="V149" s="107">
        <v>0.12</v>
      </c>
      <c r="W149" s="107">
        <v>0.42899999999999999</v>
      </c>
      <c r="X149" s="107">
        <v>2.5</v>
      </c>
      <c r="Y149" s="107">
        <v>0</v>
      </c>
      <c r="Z149" s="107">
        <v>30</v>
      </c>
      <c r="AA149" s="107">
        <v>5.8</v>
      </c>
      <c r="AB149" s="107">
        <v>0</v>
      </c>
      <c r="AC149" s="107">
        <v>0</v>
      </c>
      <c r="AD149" s="107">
        <v>0</v>
      </c>
      <c r="AE149" s="107">
        <v>0</v>
      </c>
      <c r="AF149" s="107">
        <v>0</v>
      </c>
      <c r="AG149" s="112"/>
      <c r="AH149" s="112"/>
    </row>
    <row r="150" spans="1:34" ht="13.5" thickBot="1">
      <c r="A150" s="107">
        <v>409</v>
      </c>
      <c r="B150" s="107" t="s">
        <v>139</v>
      </c>
      <c r="C150" s="107" t="s">
        <v>138</v>
      </c>
      <c r="D150" s="109">
        <v>0</v>
      </c>
      <c r="E150" s="107">
        <v>100</v>
      </c>
      <c r="F150" s="107">
        <v>0</v>
      </c>
      <c r="G150" s="107">
        <v>88</v>
      </c>
      <c r="H150" s="107">
        <v>9</v>
      </c>
      <c r="I150" s="107">
        <v>0</v>
      </c>
      <c r="J150" s="110">
        <v>88</v>
      </c>
      <c r="K150" s="111">
        <f t="shared" si="7"/>
        <v>1.4461519999999999</v>
      </c>
      <c r="L150" s="111">
        <f t="shared" si="9"/>
        <v>0.99090269612556781</v>
      </c>
      <c r="M150" s="111">
        <f t="shared" si="8"/>
        <v>0.68155075321065228</v>
      </c>
      <c r="N150" s="107">
        <v>9.8000000000000007</v>
      </c>
      <c r="O150" s="107">
        <v>57.367519455482991</v>
      </c>
      <c r="P150" s="107">
        <v>4.3</v>
      </c>
      <c r="Q150" s="107">
        <v>0.03</v>
      </c>
      <c r="R150" s="107">
        <v>0.31</v>
      </c>
      <c r="S150" s="107">
        <v>0.11</v>
      </c>
      <c r="T150" s="107">
        <v>0.33</v>
      </c>
      <c r="U150" s="107">
        <v>0.01</v>
      </c>
      <c r="V150" s="107">
        <v>0.14000000000000001</v>
      </c>
      <c r="W150" s="107">
        <v>0.42899999999999999</v>
      </c>
      <c r="X150" s="107">
        <v>4.8</v>
      </c>
      <c r="Y150" s="107">
        <v>0</v>
      </c>
      <c r="Z150" s="107">
        <v>30</v>
      </c>
      <c r="AA150" s="107">
        <v>6.4</v>
      </c>
      <c r="AB150" s="107">
        <v>0</v>
      </c>
      <c r="AC150" s="107">
        <v>0</v>
      </c>
      <c r="AD150" s="107">
        <v>0</v>
      </c>
      <c r="AE150" s="107">
        <v>0</v>
      </c>
      <c r="AF150" s="107">
        <v>0</v>
      </c>
      <c r="AG150" s="112"/>
      <c r="AH150" s="112"/>
    </row>
    <row r="151" spans="1:34" ht="13.5" thickBot="1">
      <c r="A151" s="107">
        <v>410</v>
      </c>
      <c r="B151" s="107" t="s">
        <v>140</v>
      </c>
      <c r="C151" s="107" t="s">
        <v>138</v>
      </c>
      <c r="D151" s="109">
        <v>0</v>
      </c>
      <c r="E151" s="107">
        <v>100</v>
      </c>
      <c r="F151" s="107">
        <v>0</v>
      </c>
      <c r="G151" s="107">
        <v>88</v>
      </c>
      <c r="H151" s="107">
        <v>9</v>
      </c>
      <c r="I151" s="107">
        <v>60</v>
      </c>
      <c r="J151" s="110">
        <v>88</v>
      </c>
      <c r="K151" s="111">
        <f t="shared" si="7"/>
        <v>1.4461519999999999</v>
      </c>
      <c r="L151" s="111">
        <f t="shared" si="9"/>
        <v>0.99090269612556781</v>
      </c>
      <c r="M151" s="111">
        <f t="shared" si="8"/>
        <v>0.68155075321065228</v>
      </c>
      <c r="N151" s="107">
        <v>9.8000000000000007</v>
      </c>
      <c r="O151" s="107">
        <v>44.669916113546407</v>
      </c>
      <c r="P151" s="107">
        <v>4.3</v>
      </c>
      <c r="Q151" s="107">
        <v>0.03</v>
      </c>
      <c r="R151" s="107">
        <v>0.31</v>
      </c>
      <c r="S151" s="107">
        <v>0.11</v>
      </c>
      <c r="T151" s="107">
        <v>0.33</v>
      </c>
      <c r="U151" s="107">
        <v>0.01</v>
      </c>
      <c r="V151" s="107">
        <v>0.14000000000000001</v>
      </c>
      <c r="W151" s="107">
        <v>0.42899999999999999</v>
      </c>
      <c r="X151" s="107">
        <v>4.8</v>
      </c>
      <c r="Y151" s="107">
        <v>0</v>
      </c>
      <c r="Z151" s="107">
        <v>30</v>
      </c>
      <c r="AA151" s="107">
        <v>6.4</v>
      </c>
      <c r="AB151" s="107">
        <v>0</v>
      </c>
      <c r="AC151" s="107">
        <v>0</v>
      </c>
      <c r="AD151" s="107">
        <v>0</v>
      </c>
      <c r="AE151" s="107">
        <v>0</v>
      </c>
      <c r="AF151" s="107">
        <v>0</v>
      </c>
      <c r="AG151" s="112"/>
      <c r="AH151" s="112"/>
    </row>
    <row r="152" spans="1:34" ht="13.5" thickBot="1">
      <c r="A152" s="107">
        <v>411</v>
      </c>
      <c r="B152" s="107" t="s">
        <v>142</v>
      </c>
      <c r="C152" s="107" t="s">
        <v>141</v>
      </c>
      <c r="D152" s="109">
        <v>0</v>
      </c>
      <c r="E152" s="107">
        <v>100</v>
      </c>
      <c r="F152" s="107">
        <v>0</v>
      </c>
      <c r="G152" s="107">
        <v>86</v>
      </c>
      <c r="H152" s="107">
        <v>9</v>
      </c>
      <c r="I152" s="107">
        <v>48</v>
      </c>
      <c r="J152" s="110">
        <v>93</v>
      </c>
      <c r="K152" s="111">
        <f t="shared" si="7"/>
        <v>1.5283197272727269</v>
      </c>
      <c r="L152" s="111">
        <f t="shared" si="9"/>
        <v>1.0569867432321485</v>
      </c>
      <c r="M152" s="111">
        <f t="shared" si="8"/>
        <v>0.7368735838578887</v>
      </c>
      <c r="N152" s="107">
        <v>9.8000000000000007</v>
      </c>
      <c r="O152" s="107">
        <v>43.039664050247403</v>
      </c>
      <c r="P152" s="107">
        <v>4.3</v>
      </c>
      <c r="Q152" s="107">
        <v>0.03</v>
      </c>
      <c r="R152" s="107">
        <v>0.31</v>
      </c>
      <c r="S152" s="107">
        <v>0.11</v>
      </c>
      <c r="T152" s="107">
        <v>0.33</v>
      </c>
      <c r="U152" s="107">
        <v>0.01</v>
      </c>
      <c r="V152" s="107">
        <v>0.14000000000000001</v>
      </c>
      <c r="W152" s="107">
        <v>0.42899999999999999</v>
      </c>
      <c r="X152" s="107">
        <v>4.8</v>
      </c>
      <c r="Y152" s="107">
        <v>0</v>
      </c>
      <c r="Z152" s="107">
        <v>30</v>
      </c>
      <c r="AA152" s="107">
        <v>6.4</v>
      </c>
      <c r="AB152" s="107">
        <v>0</v>
      </c>
      <c r="AC152" s="107">
        <v>0</v>
      </c>
      <c r="AD152" s="107">
        <v>0</v>
      </c>
      <c r="AE152" s="107">
        <v>0</v>
      </c>
      <c r="AF152" s="107">
        <v>0</v>
      </c>
      <c r="AG152" s="112"/>
      <c r="AH152" s="112"/>
    </row>
    <row r="153" spans="1:34" ht="13.5" thickBot="1">
      <c r="A153" s="107">
        <v>412</v>
      </c>
      <c r="B153" s="107" t="s">
        <v>143</v>
      </c>
      <c r="C153" s="107"/>
      <c r="D153" s="109">
        <v>0</v>
      </c>
      <c r="E153" s="107">
        <v>100</v>
      </c>
      <c r="F153" s="107">
        <v>0</v>
      </c>
      <c r="G153" s="107">
        <v>72</v>
      </c>
      <c r="H153" s="107">
        <v>28</v>
      </c>
      <c r="I153" s="107">
        <v>56</v>
      </c>
      <c r="J153" s="110">
        <v>85</v>
      </c>
      <c r="K153" s="111">
        <f t="shared" si="7"/>
        <v>1.3968513636363633</v>
      </c>
      <c r="L153" s="111">
        <f t="shared" si="9"/>
        <v>0.95072435594999138</v>
      </c>
      <c r="M153" s="111">
        <f t="shared" si="8"/>
        <v>0.64754893094270127</v>
      </c>
      <c r="N153" s="107">
        <v>9</v>
      </c>
      <c r="O153" s="107">
        <v>62.049314983005296</v>
      </c>
      <c r="P153" s="107">
        <v>3.7</v>
      </c>
      <c r="Q153" s="107">
        <v>7.0000000000000007E-2</v>
      </c>
      <c r="R153" s="107">
        <v>0.27</v>
      </c>
      <c r="S153" s="107">
        <v>0.14000000000000001</v>
      </c>
      <c r="T153" s="107">
        <v>0.53</v>
      </c>
      <c r="U153" s="107">
        <v>0.02</v>
      </c>
      <c r="V153" s="107">
        <v>0.16</v>
      </c>
      <c r="W153" s="107">
        <v>0.31</v>
      </c>
      <c r="X153" s="107">
        <v>8</v>
      </c>
      <c r="Y153" s="107">
        <v>0.03</v>
      </c>
      <c r="Z153" s="107">
        <v>910</v>
      </c>
      <c r="AA153" s="107">
        <v>14</v>
      </c>
      <c r="AB153" s="107">
        <v>0.09</v>
      </c>
      <c r="AC153" s="107">
        <v>14</v>
      </c>
      <c r="AD153" s="107">
        <v>1.5E-3</v>
      </c>
      <c r="AE153" s="107">
        <v>0</v>
      </c>
      <c r="AF153" s="107">
        <v>0</v>
      </c>
      <c r="AG153" s="112"/>
      <c r="AH153" s="112"/>
    </row>
    <row r="154" spans="1:34" ht="13.5" thickBot="1">
      <c r="A154" s="107">
        <v>413</v>
      </c>
      <c r="B154" s="107" t="s">
        <v>144</v>
      </c>
      <c r="C154" s="107"/>
      <c r="D154" s="109">
        <v>0</v>
      </c>
      <c r="E154" s="107">
        <v>100</v>
      </c>
      <c r="F154" s="107">
        <v>0</v>
      </c>
      <c r="G154" s="107">
        <v>72</v>
      </c>
      <c r="H154" s="107">
        <v>10.5</v>
      </c>
      <c r="I154" s="107">
        <v>0</v>
      </c>
      <c r="J154" s="110">
        <v>90</v>
      </c>
      <c r="K154" s="111">
        <f t="shared" si="7"/>
        <v>1.4790190909090906</v>
      </c>
      <c r="L154" s="111">
        <f t="shared" si="9"/>
        <v>1.0174615266698315</v>
      </c>
      <c r="M154" s="111">
        <f t="shared" si="8"/>
        <v>0.70387405467082431</v>
      </c>
      <c r="N154" s="107">
        <v>9.8000000000000007</v>
      </c>
      <c r="O154" s="107">
        <v>67.821036561365858</v>
      </c>
      <c r="P154" s="107">
        <v>4.3</v>
      </c>
      <c r="Q154" s="107">
        <v>0.04</v>
      </c>
      <c r="R154" s="107">
        <v>0.3</v>
      </c>
      <c r="S154" s="107">
        <v>0.15</v>
      </c>
      <c r="T154" s="107">
        <v>0.32</v>
      </c>
      <c r="U154" s="107">
        <v>0.01</v>
      </c>
      <c r="V154" s="107">
        <v>0.12</v>
      </c>
      <c r="W154" s="107">
        <v>0.42899999999999999</v>
      </c>
      <c r="X154" s="107">
        <v>2.5</v>
      </c>
      <c r="Y154" s="107">
        <v>0</v>
      </c>
      <c r="Z154" s="107">
        <v>30</v>
      </c>
      <c r="AA154" s="107">
        <v>5.8</v>
      </c>
      <c r="AB154" s="107">
        <v>0</v>
      </c>
      <c r="AC154" s="107">
        <v>0</v>
      </c>
      <c r="AD154" s="107">
        <v>0</v>
      </c>
      <c r="AE154" s="107">
        <v>0</v>
      </c>
      <c r="AF154" s="107">
        <v>0</v>
      </c>
      <c r="AG154" s="112"/>
      <c r="AH154" s="112"/>
    </row>
    <row r="155" spans="1:34" ht="13.5" thickBot="1">
      <c r="A155" s="107">
        <v>414</v>
      </c>
      <c r="B155" s="107" t="s">
        <v>146</v>
      </c>
      <c r="C155" s="107" t="s">
        <v>145</v>
      </c>
      <c r="D155" s="109">
        <v>0</v>
      </c>
      <c r="E155" s="107">
        <v>100</v>
      </c>
      <c r="F155" s="107">
        <v>0</v>
      </c>
      <c r="G155" s="107">
        <v>72</v>
      </c>
      <c r="H155" s="107">
        <v>9</v>
      </c>
      <c r="I155" s="107">
        <v>0</v>
      </c>
      <c r="J155" s="110">
        <v>93</v>
      </c>
      <c r="K155" s="111">
        <f t="shared" si="7"/>
        <v>1.5283197272727269</v>
      </c>
      <c r="L155" s="111">
        <f t="shared" si="9"/>
        <v>1.0569867432321485</v>
      </c>
      <c r="M155" s="111">
        <f t="shared" si="8"/>
        <v>0.7368735838578887</v>
      </c>
      <c r="N155" s="107">
        <v>9.8000000000000007</v>
      </c>
      <c r="O155" s="107">
        <v>67.821036561365858</v>
      </c>
      <c r="P155" s="107">
        <v>4.3</v>
      </c>
      <c r="Q155" s="107">
        <v>0.03</v>
      </c>
      <c r="R155" s="107">
        <v>0.31</v>
      </c>
      <c r="S155" s="107">
        <v>0.11</v>
      </c>
      <c r="T155" s="107">
        <v>0.33</v>
      </c>
      <c r="U155" s="107">
        <v>0.01</v>
      </c>
      <c r="V155" s="107">
        <v>0.14000000000000001</v>
      </c>
      <c r="W155" s="107">
        <v>0.42899999999999999</v>
      </c>
      <c r="X155" s="107">
        <v>4.8</v>
      </c>
      <c r="Y155" s="107">
        <v>0</v>
      </c>
      <c r="Z155" s="107">
        <v>30</v>
      </c>
      <c r="AA155" s="107">
        <v>6.4</v>
      </c>
      <c r="AB155" s="107">
        <v>0</v>
      </c>
      <c r="AC155" s="107">
        <v>0</v>
      </c>
      <c r="AD155" s="107">
        <v>0</v>
      </c>
      <c r="AE155" s="107">
        <v>0</v>
      </c>
      <c r="AF155" s="107">
        <v>0</v>
      </c>
      <c r="AG155" s="112"/>
      <c r="AH155" s="112"/>
    </row>
    <row r="156" spans="1:34" ht="13.5" thickBot="1">
      <c r="A156" s="107">
        <v>415</v>
      </c>
      <c r="B156" s="107" t="s">
        <v>148</v>
      </c>
      <c r="C156" s="107" t="s">
        <v>147</v>
      </c>
      <c r="D156" s="109">
        <v>0</v>
      </c>
      <c r="E156" s="107">
        <v>100</v>
      </c>
      <c r="F156" s="107">
        <v>0</v>
      </c>
      <c r="G156" s="107">
        <v>92</v>
      </c>
      <c r="H156" s="107">
        <v>40</v>
      </c>
      <c r="I156" s="107">
        <v>100</v>
      </c>
      <c r="J156" s="110">
        <v>95</v>
      </c>
      <c r="K156" s="111">
        <f t="shared" si="7"/>
        <v>1.561186818181818</v>
      </c>
      <c r="L156" s="111">
        <f t="shared" si="9"/>
        <v>1.0831439894156167</v>
      </c>
      <c r="M156" s="111">
        <f t="shared" si="8"/>
        <v>0.75856799877392744</v>
      </c>
      <c r="N156" s="107">
        <v>23</v>
      </c>
      <c r="O156" s="107">
        <v>69.564325176984852</v>
      </c>
      <c r="P156" s="107">
        <v>17.5</v>
      </c>
      <c r="Q156" s="107">
        <v>0.16</v>
      </c>
      <c r="R156" s="107">
        <v>0.62</v>
      </c>
      <c r="S156" s="107">
        <v>0.35</v>
      </c>
      <c r="T156" s="107">
        <v>1.22</v>
      </c>
      <c r="U156" s="107">
        <v>0.03</v>
      </c>
      <c r="V156" s="107">
        <v>0.26</v>
      </c>
      <c r="W156" s="107">
        <v>0</v>
      </c>
      <c r="X156" s="107">
        <v>7.9</v>
      </c>
      <c r="Y156" s="107">
        <v>0</v>
      </c>
      <c r="Z156" s="107">
        <v>160</v>
      </c>
      <c r="AA156" s="107">
        <v>12.2</v>
      </c>
      <c r="AB156" s="107">
        <v>0</v>
      </c>
      <c r="AC156" s="107">
        <v>37.700000000000003</v>
      </c>
      <c r="AD156" s="107">
        <v>0</v>
      </c>
      <c r="AE156" s="107">
        <v>0</v>
      </c>
      <c r="AF156" s="107">
        <v>0</v>
      </c>
      <c r="AG156" s="112"/>
      <c r="AH156" s="112"/>
    </row>
    <row r="157" spans="1:34" ht="13.5" thickBot="1">
      <c r="A157" s="107">
        <v>416</v>
      </c>
      <c r="B157" s="107" t="s">
        <v>149</v>
      </c>
      <c r="C157" s="107" t="s">
        <v>147</v>
      </c>
      <c r="D157" s="109">
        <v>0</v>
      </c>
      <c r="E157" s="107">
        <v>100</v>
      </c>
      <c r="F157" s="107">
        <v>0</v>
      </c>
      <c r="G157" s="107">
        <v>92</v>
      </c>
      <c r="H157" s="107">
        <v>51.6</v>
      </c>
      <c r="I157" s="107">
        <v>100</v>
      </c>
      <c r="J157" s="110">
        <v>90</v>
      </c>
      <c r="K157" s="111">
        <f t="shared" si="7"/>
        <v>1.4790190909090906</v>
      </c>
      <c r="L157" s="111">
        <f t="shared" si="9"/>
        <v>1.0174615266698315</v>
      </c>
      <c r="M157" s="111">
        <f t="shared" si="8"/>
        <v>0.70387405467082431</v>
      </c>
      <c r="N157" s="107">
        <v>24.4</v>
      </c>
      <c r="O157" s="107">
        <v>69.564325176984852</v>
      </c>
      <c r="P157" s="107">
        <v>17.5</v>
      </c>
      <c r="Q157" s="107">
        <v>0.17</v>
      </c>
      <c r="R157" s="107">
        <v>0.62</v>
      </c>
      <c r="S157" s="107">
        <v>0.38</v>
      </c>
      <c r="T157" s="107">
        <v>1.24</v>
      </c>
      <c r="U157" s="107">
        <v>0.01</v>
      </c>
      <c r="V157" s="107">
        <v>0.27</v>
      </c>
      <c r="W157" s="107">
        <v>0</v>
      </c>
      <c r="X157" s="107">
        <v>7.9</v>
      </c>
      <c r="Y157" s="107">
        <v>0</v>
      </c>
      <c r="Z157" s="107">
        <v>107</v>
      </c>
      <c r="AA157" s="107">
        <v>131</v>
      </c>
      <c r="AB157" s="107">
        <v>0</v>
      </c>
      <c r="AC157" s="107">
        <v>37.700000000000003</v>
      </c>
      <c r="AD157" s="107">
        <v>0</v>
      </c>
      <c r="AE157" s="107">
        <v>0</v>
      </c>
      <c r="AF157" s="107">
        <v>0</v>
      </c>
      <c r="AG157" s="112"/>
      <c r="AH157" s="112"/>
    </row>
    <row r="158" spans="1:34" ht="13.5" thickBot="1">
      <c r="A158" s="107">
        <v>417</v>
      </c>
      <c r="B158" s="107" t="s">
        <v>151</v>
      </c>
      <c r="C158" s="107" t="s">
        <v>150</v>
      </c>
      <c r="D158" s="109">
        <v>0</v>
      </c>
      <c r="E158" s="107">
        <v>100</v>
      </c>
      <c r="F158" s="107">
        <v>0</v>
      </c>
      <c r="G158" s="107">
        <v>92</v>
      </c>
      <c r="H158" s="107">
        <v>28</v>
      </c>
      <c r="I158" s="107">
        <v>36</v>
      </c>
      <c r="J158" s="110">
        <v>78</v>
      </c>
      <c r="K158" s="111">
        <f t="shared" si="7"/>
        <v>1.2818165454545454</v>
      </c>
      <c r="L158" s="111">
        <f t="shared" si="9"/>
        <v>0.85519833279509228</v>
      </c>
      <c r="M158" s="111">
        <f t="shared" si="8"/>
        <v>0.56557915576675344</v>
      </c>
      <c r="N158" s="107">
        <v>44</v>
      </c>
      <c r="O158" s="107">
        <v>57</v>
      </c>
      <c r="P158" s="107">
        <v>5</v>
      </c>
      <c r="Q158" s="107">
        <v>0.16</v>
      </c>
      <c r="R158" s="107">
        <v>0.76</v>
      </c>
      <c r="S158" s="107">
        <v>0.35</v>
      </c>
      <c r="T158" s="107">
        <v>1.22</v>
      </c>
      <c r="U158" s="107">
        <v>0.03</v>
      </c>
      <c r="V158" s="107">
        <v>0.26</v>
      </c>
      <c r="W158" s="107">
        <v>0</v>
      </c>
      <c r="X158" s="107">
        <v>53.9</v>
      </c>
      <c r="Y158" s="107">
        <v>0</v>
      </c>
      <c r="Z158" s="107">
        <v>160</v>
      </c>
      <c r="AA158" s="107">
        <v>12.2</v>
      </c>
      <c r="AB158" s="107">
        <v>0</v>
      </c>
      <c r="AC158" s="107">
        <v>0</v>
      </c>
      <c r="AD158" s="107">
        <v>0</v>
      </c>
      <c r="AE158" s="107">
        <v>0</v>
      </c>
      <c r="AF158" s="107">
        <v>0</v>
      </c>
      <c r="AG158" s="112"/>
      <c r="AH158" s="112"/>
    </row>
    <row r="159" spans="1:34" ht="13.5" thickBot="1">
      <c r="A159" s="107">
        <v>418</v>
      </c>
      <c r="B159" s="107" t="s">
        <v>153</v>
      </c>
      <c r="C159" s="107" t="s">
        <v>152</v>
      </c>
      <c r="D159" s="109">
        <v>0</v>
      </c>
      <c r="E159" s="107">
        <v>100</v>
      </c>
      <c r="F159" s="107">
        <v>0</v>
      </c>
      <c r="G159" s="107">
        <v>92</v>
      </c>
      <c r="H159" s="107">
        <v>28.9</v>
      </c>
      <c r="I159" s="107">
        <v>36</v>
      </c>
      <c r="J159" s="110">
        <v>75</v>
      </c>
      <c r="K159" s="111">
        <f t="shared" si="7"/>
        <v>1.232515909090909</v>
      </c>
      <c r="L159" s="111">
        <f t="shared" si="9"/>
        <v>0.81340926296060134</v>
      </c>
      <c r="M159" s="111">
        <f t="shared" si="8"/>
        <v>0.52921896774891264</v>
      </c>
      <c r="N159" s="107">
        <v>46.1</v>
      </c>
      <c r="O159" s="107">
        <v>57</v>
      </c>
      <c r="P159" s="107">
        <v>3.15</v>
      </c>
      <c r="Q159" s="107">
        <v>0.2</v>
      </c>
      <c r="R159" s="107">
        <v>1.1599999999999999</v>
      </c>
      <c r="S159" s="107">
        <v>0.65</v>
      </c>
      <c r="T159" s="107">
        <v>1.65</v>
      </c>
      <c r="U159" s="107">
        <v>7.0000000000000007E-2</v>
      </c>
      <c r="V159" s="107">
        <v>0.42</v>
      </c>
      <c r="W159" s="107">
        <v>0.53</v>
      </c>
      <c r="X159" s="107">
        <v>16.5</v>
      </c>
      <c r="Y159" s="107">
        <v>0</v>
      </c>
      <c r="Z159" s="107">
        <v>162</v>
      </c>
      <c r="AA159" s="107">
        <v>26.9</v>
      </c>
      <c r="AB159" s="107">
        <v>0.98</v>
      </c>
      <c r="AC159" s="107">
        <v>74</v>
      </c>
      <c r="AD159" s="107">
        <v>0</v>
      </c>
      <c r="AE159" s="107">
        <v>0</v>
      </c>
      <c r="AF159" s="107">
        <v>0</v>
      </c>
      <c r="AG159" s="112"/>
      <c r="AH159" s="112"/>
    </row>
    <row r="160" spans="1:34" ht="13.5" thickBot="1">
      <c r="A160" s="107">
        <v>419</v>
      </c>
      <c r="B160" s="107" t="s">
        <v>155</v>
      </c>
      <c r="C160" s="107" t="s">
        <v>154</v>
      </c>
      <c r="D160" s="109">
        <v>0</v>
      </c>
      <c r="E160" s="107">
        <v>100</v>
      </c>
      <c r="F160" s="107">
        <v>0</v>
      </c>
      <c r="G160" s="107">
        <v>92</v>
      </c>
      <c r="H160" s="107">
        <v>28</v>
      </c>
      <c r="I160" s="107">
        <v>36</v>
      </c>
      <c r="J160" s="110">
        <v>75</v>
      </c>
      <c r="K160" s="111">
        <f t="shared" si="7"/>
        <v>1.232515909090909</v>
      </c>
      <c r="L160" s="111">
        <f t="shared" si="9"/>
        <v>0.81340926296060134</v>
      </c>
      <c r="M160" s="111">
        <f t="shared" si="8"/>
        <v>0.52921896774891264</v>
      </c>
      <c r="N160" s="107">
        <v>48.9</v>
      </c>
      <c r="O160" s="107">
        <v>57</v>
      </c>
      <c r="P160" s="107">
        <v>1.7</v>
      </c>
      <c r="Q160" s="107">
        <v>0.16</v>
      </c>
      <c r="R160" s="107">
        <v>0.76</v>
      </c>
      <c r="S160" s="107">
        <v>0.35</v>
      </c>
      <c r="T160" s="107">
        <v>1.22</v>
      </c>
      <c r="U160" s="107">
        <v>0.03</v>
      </c>
      <c r="V160" s="107">
        <v>0.26</v>
      </c>
      <c r="W160" s="107">
        <v>0</v>
      </c>
      <c r="X160" s="107">
        <v>53.9</v>
      </c>
      <c r="Y160" s="107">
        <v>0</v>
      </c>
      <c r="Z160" s="107">
        <v>160</v>
      </c>
      <c r="AA160" s="107">
        <v>12.2</v>
      </c>
      <c r="AB160" s="107">
        <v>0</v>
      </c>
      <c r="AC160" s="107">
        <v>0</v>
      </c>
      <c r="AD160" s="107">
        <v>0</v>
      </c>
      <c r="AE160" s="107">
        <v>0</v>
      </c>
      <c r="AF160" s="107">
        <v>0</v>
      </c>
      <c r="AG160" s="112"/>
      <c r="AH160" s="112"/>
    </row>
    <row r="161" spans="1:34" ht="13.5" thickBot="1">
      <c r="A161" s="107">
        <v>420</v>
      </c>
      <c r="B161" s="107" t="s">
        <v>157</v>
      </c>
      <c r="C161" s="107" t="s">
        <v>156</v>
      </c>
      <c r="D161" s="109">
        <v>0</v>
      </c>
      <c r="E161" s="107">
        <v>100</v>
      </c>
      <c r="F161" s="107">
        <v>0</v>
      </c>
      <c r="G161" s="107">
        <v>77.900000000000006</v>
      </c>
      <c r="H161" s="107">
        <v>0</v>
      </c>
      <c r="I161" s="107">
        <v>0</v>
      </c>
      <c r="J161" s="110">
        <v>75</v>
      </c>
      <c r="K161" s="111">
        <f t="shared" si="7"/>
        <v>1.232515909090909</v>
      </c>
      <c r="L161" s="111">
        <f t="shared" si="9"/>
        <v>0.81340926296060134</v>
      </c>
      <c r="M161" s="111">
        <f t="shared" si="8"/>
        <v>0.52921896774891264</v>
      </c>
      <c r="N161" s="107">
        <v>8.5</v>
      </c>
      <c r="O161" s="107">
        <v>99.999999939999995</v>
      </c>
      <c r="P161" s="107">
        <v>0</v>
      </c>
      <c r="Q161" s="107">
        <v>0.15</v>
      </c>
      <c r="R161" s="107">
        <v>0.03</v>
      </c>
      <c r="S161" s="107">
        <v>0.28999999999999998</v>
      </c>
      <c r="T161" s="107">
        <v>6.06</v>
      </c>
      <c r="U161" s="107">
        <v>1.48</v>
      </c>
      <c r="V161" s="107">
        <v>0.6</v>
      </c>
      <c r="W161" s="107">
        <v>0.46500000000000002</v>
      </c>
      <c r="X161" s="107">
        <v>21.6</v>
      </c>
      <c r="Y161" s="107">
        <v>0</v>
      </c>
      <c r="Z161" s="107">
        <v>87</v>
      </c>
      <c r="AA161" s="107">
        <v>6</v>
      </c>
      <c r="AB161" s="107">
        <v>0</v>
      </c>
      <c r="AC161" s="107">
        <v>18</v>
      </c>
      <c r="AD161" s="107">
        <v>0</v>
      </c>
      <c r="AE161" s="107">
        <v>0</v>
      </c>
      <c r="AF161" s="107">
        <v>0</v>
      </c>
      <c r="AG161" s="112"/>
      <c r="AH161" s="112"/>
    </row>
    <row r="162" spans="1:34" ht="13.5" thickBot="1">
      <c r="A162" s="107">
        <v>421</v>
      </c>
      <c r="B162" s="107" t="s">
        <v>159</v>
      </c>
      <c r="C162" s="107" t="s">
        <v>158</v>
      </c>
      <c r="D162" s="109">
        <v>0</v>
      </c>
      <c r="E162" s="107">
        <v>100</v>
      </c>
      <c r="F162" s="107">
        <v>0</v>
      </c>
      <c r="G162" s="107">
        <v>74.3</v>
      </c>
      <c r="H162" s="107">
        <v>0</v>
      </c>
      <c r="I162" s="107">
        <v>0</v>
      </c>
      <c r="J162" s="110">
        <v>72</v>
      </c>
      <c r="K162" s="111">
        <f t="shared" si="7"/>
        <v>1.1832152727272724</v>
      </c>
      <c r="L162" s="111">
        <f t="shared" si="9"/>
        <v>0.7710578087960136</v>
      </c>
      <c r="M162" s="111">
        <f t="shared" si="8"/>
        <v>0.49205928731319343</v>
      </c>
      <c r="N162" s="107">
        <v>5.8</v>
      </c>
      <c r="O162" s="107">
        <v>99.999999939999995</v>
      </c>
      <c r="P162" s="107">
        <v>0</v>
      </c>
      <c r="Q162" s="107">
        <v>1</v>
      </c>
      <c r="R162" s="107">
        <v>0.1</v>
      </c>
      <c r="S162" s="107">
        <v>0.42</v>
      </c>
      <c r="T162" s="107">
        <v>4.01</v>
      </c>
      <c r="U162" s="107">
        <v>0.22</v>
      </c>
      <c r="V162" s="107">
        <v>0.47</v>
      </c>
      <c r="W162" s="107">
        <v>1.587</v>
      </c>
      <c r="X162" s="107">
        <v>65.7</v>
      </c>
      <c r="Y162" s="107">
        <v>2.1030000000000002</v>
      </c>
      <c r="Z162" s="107">
        <v>263</v>
      </c>
      <c r="AA162" s="107">
        <v>59</v>
      </c>
      <c r="AB162" s="107">
        <v>0</v>
      </c>
      <c r="AC162" s="107">
        <v>21</v>
      </c>
      <c r="AD162" s="107">
        <v>0</v>
      </c>
      <c r="AE162" s="107">
        <v>0</v>
      </c>
      <c r="AF162" s="107">
        <v>7</v>
      </c>
      <c r="AG162" s="112"/>
      <c r="AH162" s="112"/>
    </row>
    <row r="163" spans="1:34" ht="13.5" thickBot="1">
      <c r="A163" s="107">
        <v>422</v>
      </c>
      <c r="B163" s="107" t="s">
        <v>161</v>
      </c>
      <c r="C163" s="107" t="s">
        <v>160</v>
      </c>
      <c r="D163" s="109">
        <v>0</v>
      </c>
      <c r="E163" s="107">
        <v>100</v>
      </c>
      <c r="F163" s="107">
        <v>0</v>
      </c>
      <c r="G163" s="107">
        <v>91</v>
      </c>
      <c r="H163" s="107">
        <v>42</v>
      </c>
      <c r="I163" s="107">
        <v>34</v>
      </c>
      <c r="J163" s="110">
        <v>73</v>
      </c>
      <c r="K163" s="111">
        <f t="shared" si="7"/>
        <v>1.1996488181818179</v>
      </c>
      <c r="L163" s="111">
        <f t="shared" si="9"/>
        <v>0.7852397027574235</v>
      </c>
      <c r="M163" s="111">
        <f t="shared" si="8"/>
        <v>0.50453730053885015</v>
      </c>
      <c r="N163" s="107">
        <v>13.6</v>
      </c>
      <c r="O163" s="107">
        <v>76.552521344197075</v>
      </c>
      <c r="P163" s="107">
        <v>4.9000000000000004</v>
      </c>
      <c r="Q163" s="107">
        <v>7.0000000000000007E-2</v>
      </c>
      <c r="R163" s="107">
        <v>0.3</v>
      </c>
      <c r="S163" s="107">
        <v>0.16</v>
      </c>
      <c r="T163" s="107">
        <v>0.45</v>
      </c>
      <c r="U163" s="107">
        <v>0.06</v>
      </c>
      <c r="V163" s="107">
        <v>0.23</v>
      </c>
      <c r="W163" s="107">
        <v>6.3E-2</v>
      </c>
      <c r="X163" s="107">
        <v>6.7</v>
      </c>
      <c r="Y163" s="107">
        <v>0.125</v>
      </c>
      <c r="Z163" s="107">
        <v>80</v>
      </c>
      <c r="AA163" s="107">
        <v>40.1</v>
      </c>
      <c r="AB163" s="107">
        <v>0.24099999999999999</v>
      </c>
      <c r="AC163" s="107">
        <v>39.200000000000003</v>
      </c>
      <c r="AD163" s="107">
        <v>0.2</v>
      </c>
      <c r="AE163" s="107">
        <v>0</v>
      </c>
      <c r="AF163" s="107">
        <v>15</v>
      </c>
      <c r="AG163" s="112"/>
      <c r="AH163" s="112"/>
    </row>
    <row r="164" spans="1:34" ht="13.5" thickBot="1">
      <c r="A164" s="107">
        <v>423</v>
      </c>
      <c r="B164" s="107" t="s">
        <v>163</v>
      </c>
      <c r="C164" s="107" t="s">
        <v>162</v>
      </c>
      <c r="D164" s="109">
        <v>0</v>
      </c>
      <c r="E164" s="107">
        <v>100</v>
      </c>
      <c r="F164" s="107">
        <v>0</v>
      </c>
      <c r="G164" s="107">
        <v>89</v>
      </c>
      <c r="H164" s="107">
        <v>29.3</v>
      </c>
      <c r="I164" s="107">
        <v>34</v>
      </c>
      <c r="J164" s="110">
        <v>77</v>
      </c>
      <c r="K164" s="111">
        <f t="shared" si="7"/>
        <v>1.2653829999999999</v>
      </c>
      <c r="L164" s="111">
        <f t="shared" si="9"/>
        <v>0.84132887457262528</v>
      </c>
      <c r="M164" s="111">
        <f t="shared" si="8"/>
        <v>0.55354530499547361</v>
      </c>
      <c r="N164" s="107">
        <v>13.6</v>
      </c>
      <c r="O164" s="107">
        <v>83</v>
      </c>
      <c r="P164" s="107">
        <v>5.2</v>
      </c>
      <c r="Q164" s="107">
        <v>8.9999999999999993E-3</v>
      </c>
      <c r="R164" s="107">
        <v>0.41</v>
      </c>
      <c r="S164" s="107">
        <v>0.16</v>
      </c>
      <c r="T164" s="107">
        <v>0.51</v>
      </c>
      <c r="U164" s="107">
        <v>0.02</v>
      </c>
      <c r="V164" s="107">
        <v>0.21</v>
      </c>
      <c r="W164" s="107">
        <v>6.3E-2</v>
      </c>
      <c r="X164" s="107">
        <v>8.6</v>
      </c>
      <c r="Y164" s="107">
        <v>0.125</v>
      </c>
      <c r="Z164" s="107">
        <v>94.1</v>
      </c>
      <c r="AA164" s="107">
        <v>40.299999999999997</v>
      </c>
      <c r="AB164" s="107">
        <v>0.24099999999999999</v>
      </c>
      <c r="AC164" s="107">
        <v>40.799999999999997</v>
      </c>
      <c r="AD164" s="107">
        <v>0.2</v>
      </c>
      <c r="AE164" s="107">
        <v>0</v>
      </c>
      <c r="AF164" s="107">
        <v>15</v>
      </c>
      <c r="AG164" s="112"/>
      <c r="AH164" s="112"/>
    </row>
    <row r="165" spans="1:34" ht="13.5" thickBot="1">
      <c r="A165" s="107">
        <v>424</v>
      </c>
      <c r="B165" s="107" t="s">
        <v>165</v>
      </c>
      <c r="C165" s="107" t="s">
        <v>164</v>
      </c>
      <c r="D165" s="109">
        <v>0</v>
      </c>
      <c r="E165" s="107">
        <v>100</v>
      </c>
      <c r="F165" s="107">
        <v>0</v>
      </c>
      <c r="G165" s="107">
        <v>90.5</v>
      </c>
      <c r="H165" s="107">
        <v>33</v>
      </c>
      <c r="I165" s="107">
        <v>0</v>
      </c>
      <c r="J165" s="110">
        <v>70</v>
      </c>
      <c r="K165" s="111">
        <f t="shared" si="7"/>
        <v>1.1503481818181815</v>
      </c>
      <c r="L165" s="111">
        <f t="shared" si="9"/>
        <v>0.74249302687727736</v>
      </c>
      <c r="M165" s="111">
        <f t="shared" si="8"/>
        <v>0.46682103985200518</v>
      </c>
      <c r="N165" s="107">
        <v>14.4</v>
      </c>
      <c r="O165" s="107">
        <v>50.959481608096588</v>
      </c>
      <c r="P165" s="107">
        <v>15</v>
      </c>
      <c r="Q165" s="107">
        <v>0.1</v>
      </c>
      <c r="R165" s="107">
        <v>1.73</v>
      </c>
      <c r="S165" s="107">
        <v>0.97</v>
      </c>
      <c r="T165" s="107">
        <v>1.89</v>
      </c>
      <c r="U165" s="107">
        <v>0.03</v>
      </c>
      <c r="V165" s="107">
        <v>0.2</v>
      </c>
      <c r="W165" s="107">
        <v>1.526</v>
      </c>
      <c r="X165" s="107">
        <v>12.2</v>
      </c>
      <c r="Y165" s="107">
        <v>0</v>
      </c>
      <c r="Z165" s="107">
        <v>229</v>
      </c>
      <c r="AA165" s="107">
        <v>396</v>
      </c>
      <c r="AB165" s="107">
        <v>0.44</v>
      </c>
      <c r="AC165" s="107">
        <v>33</v>
      </c>
      <c r="AD165" s="107">
        <v>0</v>
      </c>
      <c r="AE165" s="107">
        <v>0</v>
      </c>
      <c r="AF165" s="107">
        <v>66.7</v>
      </c>
      <c r="AG165" s="112"/>
      <c r="AH165" s="112"/>
    </row>
    <row r="166" spans="1:34" ht="13.5" thickBot="1">
      <c r="A166" s="107">
        <v>425</v>
      </c>
      <c r="B166" s="107" t="s">
        <v>167</v>
      </c>
      <c r="C166" s="107" t="s">
        <v>166</v>
      </c>
      <c r="D166" s="109">
        <v>0</v>
      </c>
      <c r="E166" s="107">
        <v>100</v>
      </c>
      <c r="F166" s="107">
        <v>0</v>
      </c>
      <c r="G166" s="107">
        <v>89</v>
      </c>
      <c r="H166" s="107">
        <v>16</v>
      </c>
      <c r="I166" s="107">
        <v>0</v>
      </c>
      <c r="J166" s="110">
        <v>79</v>
      </c>
      <c r="K166" s="111">
        <f t="shared" si="7"/>
        <v>1.2982500909090906</v>
      </c>
      <c r="L166" s="111">
        <f t="shared" si="9"/>
        <v>0.86900936363553549</v>
      </c>
      <c r="M166" s="111">
        <f t="shared" si="8"/>
        <v>0.57752889110833361</v>
      </c>
      <c r="N166" s="107">
        <v>8.9</v>
      </c>
      <c r="O166" s="107">
        <v>69.850700268112035</v>
      </c>
      <c r="P166" s="107">
        <v>1.9</v>
      </c>
      <c r="Q166" s="107">
        <v>7.0000000000000007E-2</v>
      </c>
      <c r="R166" s="107">
        <v>0.36</v>
      </c>
      <c r="S166" s="107">
        <v>0.14000000000000001</v>
      </c>
      <c r="T166" s="107">
        <v>0.53</v>
      </c>
      <c r="U166" s="107">
        <v>7.0000000000000007E-2</v>
      </c>
      <c r="V166" s="107">
        <v>0.05</v>
      </c>
      <c r="W166" s="107">
        <v>0.05</v>
      </c>
      <c r="X166" s="107">
        <v>3</v>
      </c>
      <c r="Y166" s="107">
        <v>0.05</v>
      </c>
      <c r="Z166" s="107">
        <v>0</v>
      </c>
      <c r="AA166" s="107">
        <v>20.2</v>
      </c>
      <c r="AB166" s="107">
        <v>0</v>
      </c>
      <c r="AC166" s="107">
        <v>16.899999999999999</v>
      </c>
      <c r="AD166" s="107">
        <v>0</v>
      </c>
      <c r="AE166" s="107">
        <v>0</v>
      </c>
      <c r="AF166" s="107">
        <v>15.7</v>
      </c>
      <c r="AG166" s="112"/>
      <c r="AH166" s="112"/>
    </row>
    <row r="167" spans="1:34" ht="13.5" thickBot="1">
      <c r="A167" s="107">
        <v>426</v>
      </c>
      <c r="B167" s="107" t="s">
        <v>169</v>
      </c>
      <c r="C167" s="107" t="s">
        <v>168</v>
      </c>
      <c r="D167" s="109">
        <v>0</v>
      </c>
      <c r="E167" s="107">
        <v>100</v>
      </c>
      <c r="F167" s="107">
        <v>0</v>
      </c>
      <c r="G167" s="107">
        <v>89</v>
      </c>
      <c r="H167" s="107">
        <v>1.84</v>
      </c>
      <c r="I167" s="107">
        <v>0</v>
      </c>
      <c r="J167" s="110">
        <v>89</v>
      </c>
      <c r="K167" s="111">
        <f t="shared" si="7"/>
        <v>1.4625855454545453</v>
      </c>
      <c r="L167" s="111">
        <f t="shared" si="9"/>
        <v>1.0042038821848085</v>
      </c>
      <c r="M167" s="111">
        <f t="shared" si="8"/>
        <v>0.69274581371010135</v>
      </c>
      <c r="N167" s="107">
        <v>8.6</v>
      </c>
      <c r="O167" s="107">
        <v>66.295291982750655</v>
      </c>
      <c r="P167" s="107">
        <v>0.8</v>
      </c>
      <c r="Q167" s="107">
        <v>0.03</v>
      </c>
      <c r="R167" s="107">
        <v>0.13</v>
      </c>
      <c r="S167" s="107">
        <v>0.1</v>
      </c>
      <c r="T167" s="107">
        <v>0.26</v>
      </c>
      <c r="U167" s="107">
        <v>0.02</v>
      </c>
      <c r="V167" s="107">
        <v>0.09</v>
      </c>
      <c r="W167" s="107">
        <v>0.95499999999999996</v>
      </c>
      <c r="X167" s="107">
        <v>6.1</v>
      </c>
      <c r="Y167" s="107">
        <v>0</v>
      </c>
      <c r="Z167" s="107">
        <v>20</v>
      </c>
      <c r="AA167" s="107">
        <v>33.4</v>
      </c>
      <c r="AB167" s="107">
        <v>0</v>
      </c>
      <c r="AC167" s="107">
        <v>15.4</v>
      </c>
      <c r="AD167" s="107">
        <v>0</v>
      </c>
      <c r="AE167" s="107">
        <v>0</v>
      </c>
      <c r="AF167" s="107">
        <v>11.7</v>
      </c>
      <c r="AG167" s="112"/>
      <c r="AH167" s="112"/>
    </row>
    <row r="168" spans="1:34" ht="13.5" thickBot="1">
      <c r="A168" s="107">
        <v>427</v>
      </c>
      <c r="B168" s="107" t="s">
        <v>171</v>
      </c>
      <c r="C168" s="107" t="s">
        <v>170</v>
      </c>
      <c r="D168" s="109">
        <v>0</v>
      </c>
      <c r="E168" s="107">
        <v>100</v>
      </c>
      <c r="F168" s="107">
        <v>0</v>
      </c>
      <c r="G168" s="107">
        <v>88</v>
      </c>
      <c r="H168" s="107">
        <v>19</v>
      </c>
      <c r="I168" s="107">
        <v>34</v>
      </c>
      <c r="J168" s="110">
        <v>84</v>
      </c>
      <c r="K168" s="111">
        <f t="shared" si="7"/>
        <v>1.3804178181818179</v>
      </c>
      <c r="L168" s="111">
        <f t="shared" si="9"/>
        <v>0.9372354710413312</v>
      </c>
      <c r="M168" s="111">
        <f t="shared" si="8"/>
        <v>0.63607086875109964</v>
      </c>
      <c r="N168" s="107">
        <v>13.8</v>
      </c>
      <c r="O168" s="107">
        <v>78.990256285450982</v>
      </c>
      <c r="P168" s="107">
        <v>1.7</v>
      </c>
      <c r="Q168" s="107">
        <v>7.0000000000000007E-2</v>
      </c>
      <c r="R168" s="107">
        <v>0.36</v>
      </c>
      <c r="S168" s="107">
        <v>0.14000000000000001</v>
      </c>
      <c r="T168" s="107">
        <v>0.52</v>
      </c>
      <c r="U168" s="107">
        <v>0.03</v>
      </c>
      <c r="V168" s="107">
        <v>0.17</v>
      </c>
      <c r="W168" s="107">
        <v>0</v>
      </c>
      <c r="X168" s="107">
        <v>8.6</v>
      </c>
      <c r="Y168" s="107">
        <v>0</v>
      </c>
      <c r="Z168" s="107">
        <v>80</v>
      </c>
      <c r="AA168" s="107">
        <v>82.3</v>
      </c>
      <c r="AB168" s="107">
        <v>0.44</v>
      </c>
      <c r="AC168" s="107">
        <v>32.200000000000003</v>
      </c>
      <c r="AD168" s="107">
        <v>0.2</v>
      </c>
      <c r="AE168" s="107">
        <v>0</v>
      </c>
      <c r="AF168" s="107">
        <v>16.600000000000001</v>
      </c>
      <c r="AG168" s="112"/>
      <c r="AH168" s="112"/>
    </row>
    <row r="169" spans="1:34" ht="13.5" thickBot="1">
      <c r="A169" s="107">
        <v>428</v>
      </c>
      <c r="B169" s="107" t="s">
        <v>173</v>
      </c>
      <c r="C169" s="107" t="s">
        <v>172</v>
      </c>
      <c r="D169" s="109">
        <v>0</v>
      </c>
      <c r="E169" s="107">
        <v>100</v>
      </c>
      <c r="F169" s="107">
        <v>0</v>
      </c>
      <c r="G169" s="107">
        <v>89</v>
      </c>
      <c r="H169" s="107">
        <v>13.3</v>
      </c>
      <c r="I169" s="107">
        <v>34</v>
      </c>
      <c r="J169" s="110">
        <v>76</v>
      </c>
      <c r="K169" s="111">
        <f t="shared" si="7"/>
        <v>1.2489494545454543</v>
      </c>
      <c r="L169" s="111">
        <f t="shared" si="9"/>
        <v>0.82739963571288022</v>
      </c>
      <c r="M169" s="111">
        <f t="shared" si="8"/>
        <v>0.54142576644076823</v>
      </c>
      <c r="N169" s="107">
        <v>11.6</v>
      </c>
      <c r="O169" s="107">
        <v>50.755911553735807</v>
      </c>
      <c r="P169" s="107">
        <v>3.1</v>
      </c>
      <c r="Q169" s="107">
        <v>0.05</v>
      </c>
      <c r="R169" s="107">
        <v>0.34</v>
      </c>
      <c r="S169" s="107">
        <v>0.14000000000000001</v>
      </c>
      <c r="T169" s="107">
        <v>0.47</v>
      </c>
      <c r="U169" s="107">
        <v>0.04</v>
      </c>
      <c r="V169" s="107">
        <v>0.12</v>
      </c>
      <c r="W169" s="107">
        <v>0.53100000000000003</v>
      </c>
      <c r="X169" s="107">
        <v>4.9000000000000004</v>
      </c>
      <c r="Y169" s="107">
        <v>6.9000000000000006E-2</v>
      </c>
      <c r="Z169" s="107">
        <v>60</v>
      </c>
      <c r="AA169" s="107">
        <v>17.899999999999999</v>
      </c>
      <c r="AB169" s="107">
        <v>0.22700000000000001</v>
      </c>
      <c r="AC169" s="107">
        <v>19.100000000000001</v>
      </c>
      <c r="AD169" s="107">
        <v>0.05</v>
      </c>
      <c r="AE169" s="107">
        <v>0</v>
      </c>
      <c r="AF169" s="107">
        <v>12</v>
      </c>
      <c r="AG169" s="112"/>
      <c r="AH169" s="112"/>
    </row>
    <row r="170" spans="1:34" ht="13.5" thickBot="1">
      <c r="A170" s="107">
        <v>429</v>
      </c>
      <c r="B170" s="107" t="s">
        <v>174</v>
      </c>
      <c r="C170" s="107" t="s">
        <v>172</v>
      </c>
      <c r="D170" s="109">
        <v>0</v>
      </c>
      <c r="E170" s="107">
        <v>100</v>
      </c>
      <c r="F170" s="107">
        <v>0</v>
      </c>
      <c r="G170" s="107">
        <v>90</v>
      </c>
      <c r="H170" s="107">
        <v>16.100000000000001</v>
      </c>
      <c r="I170" s="107">
        <v>34</v>
      </c>
      <c r="J170" s="110">
        <v>82</v>
      </c>
      <c r="K170" s="111">
        <f t="shared" si="7"/>
        <v>1.3475507272727272</v>
      </c>
      <c r="L170" s="111">
        <f t="shared" si="9"/>
        <v>0.91010542441727682</v>
      </c>
      <c r="M170" s="111">
        <f t="shared" si="8"/>
        <v>0.61288912809212004</v>
      </c>
      <c r="N170" s="107">
        <v>12.6</v>
      </c>
      <c r="O170" s="107">
        <v>43</v>
      </c>
      <c r="P170" s="107">
        <v>3.03</v>
      </c>
      <c r="Q170" s="107">
        <v>0.04</v>
      </c>
      <c r="R170" s="107">
        <v>0.34</v>
      </c>
      <c r="S170" s="107">
        <v>0.17</v>
      </c>
      <c r="T170" s="107">
        <v>0.44</v>
      </c>
      <c r="U170" s="107">
        <v>0.01</v>
      </c>
      <c r="V170" s="107">
        <v>0.14000000000000001</v>
      </c>
      <c r="W170" s="107">
        <v>0.53100000000000003</v>
      </c>
      <c r="X170" s="107">
        <v>4.7</v>
      </c>
      <c r="Y170" s="107">
        <v>6.9000000000000006E-2</v>
      </c>
      <c r="Z170" s="107">
        <v>80.8</v>
      </c>
      <c r="AA170" s="107">
        <v>15.4</v>
      </c>
      <c r="AB170" s="107">
        <v>0.46</v>
      </c>
      <c r="AC170" s="107">
        <v>16</v>
      </c>
      <c r="AD170" s="107">
        <v>0.05</v>
      </c>
      <c r="AE170" s="107">
        <v>0</v>
      </c>
      <c r="AF170" s="107">
        <v>12</v>
      </c>
      <c r="AG170" s="112"/>
      <c r="AH170" s="112"/>
    </row>
    <row r="171" spans="1:34" ht="13.5" thickBot="1">
      <c r="A171" s="107">
        <v>430</v>
      </c>
      <c r="B171" s="107" t="s">
        <v>175</v>
      </c>
      <c r="C171" s="107"/>
      <c r="D171" s="109">
        <v>0</v>
      </c>
      <c r="E171" s="107">
        <v>100</v>
      </c>
      <c r="F171" s="107">
        <v>0</v>
      </c>
      <c r="G171" s="107">
        <v>70</v>
      </c>
      <c r="H171" s="107">
        <v>23</v>
      </c>
      <c r="I171" s="107">
        <v>34</v>
      </c>
      <c r="J171" s="110">
        <v>88</v>
      </c>
      <c r="K171" s="111">
        <f t="shared" si="7"/>
        <v>1.4461519999999999</v>
      </c>
      <c r="L171" s="111">
        <f t="shared" si="9"/>
        <v>0.99090269612556781</v>
      </c>
      <c r="M171" s="111">
        <f t="shared" si="8"/>
        <v>0.68155075321065228</v>
      </c>
      <c r="N171" s="107">
        <v>12</v>
      </c>
      <c r="O171" s="107">
        <v>56.402777378926217</v>
      </c>
      <c r="P171" s="107">
        <v>3.1</v>
      </c>
      <c r="Q171" s="107">
        <v>0.05</v>
      </c>
      <c r="R171" s="107">
        <v>0.34</v>
      </c>
      <c r="S171" s="107">
        <v>0.14000000000000001</v>
      </c>
      <c r="T171" s="107">
        <v>0.35</v>
      </c>
      <c r="U171" s="107">
        <v>0.04</v>
      </c>
      <c r="V171" s="107">
        <v>0.12</v>
      </c>
      <c r="W171" s="107">
        <v>0.53100000000000003</v>
      </c>
      <c r="X171" s="107">
        <v>4.9000000000000004</v>
      </c>
      <c r="Y171" s="107">
        <v>6.9000000000000006E-2</v>
      </c>
      <c r="Z171" s="107">
        <v>60</v>
      </c>
      <c r="AA171" s="107">
        <v>17.899999999999999</v>
      </c>
      <c r="AB171" s="107">
        <v>0.22700000000000001</v>
      </c>
      <c r="AC171" s="107">
        <v>19.100000000000001</v>
      </c>
      <c r="AD171" s="107">
        <v>0.05</v>
      </c>
      <c r="AE171" s="107">
        <v>0</v>
      </c>
      <c r="AF171" s="107">
        <v>12</v>
      </c>
      <c r="AG171" s="112"/>
      <c r="AH171" s="112"/>
    </row>
    <row r="172" spans="1:34" ht="13.5" thickBot="1">
      <c r="A172" s="107">
        <v>431</v>
      </c>
      <c r="B172" s="107" t="s">
        <v>176</v>
      </c>
      <c r="C172" s="107"/>
      <c r="D172" s="109">
        <v>0</v>
      </c>
      <c r="E172" s="107">
        <v>100</v>
      </c>
      <c r="F172" s="107">
        <v>0</v>
      </c>
      <c r="G172" s="107">
        <v>89</v>
      </c>
      <c r="H172" s="107">
        <v>8</v>
      </c>
      <c r="I172" s="107">
        <v>0</v>
      </c>
      <c r="J172" s="110">
        <v>84</v>
      </c>
      <c r="K172" s="111">
        <f t="shared" si="7"/>
        <v>1.3804178181818179</v>
      </c>
      <c r="L172" s="111">
        <f t="shared" si="9"/>
        <v>0.9372354710413312</v>
      </c>
      <c r="M172" s="111">
        <f t="shared" si="8"/>
        <v>0.63607086875109964</v>
      </c>
      <c r="N172" s="107">
        <v>3.1</v>
      </c>
      <c r="O172" s="107">
        <v>56.108344906018253</v>
      </c>
      <c r="P172" s="107">
        <v>0.8</v>
      </c>
      <c r="Q172" s="107">
        <v>0</v>
      </c>
      <c r="R172" s="107">
        <v>0</v>
      </c>
      <c r="S172" s="107">
        <v>0</v>
      </c>
      <c r="T172" s="107">
        <v>0</v>
      </c>
      <c r="U172" s="107">
        <v>0</v>
      </c>
      <c r="V172" s="107">
        <v>0</v>
      </c>
      <c r="W172" s="107">
        <v>0</v>
      </c>
      <c r="X172" s="107">
        <v>0</v>
      </c>
      <c r="Y172" s="107">
        <v>0</v>
      </c>
      <c r="Z172" s="107">
        <v>0</v>
      </c>
      <c r="AA172" s="107">
        <v>0</v>
      </c>
      <c r="AB172" s="107">
        <v>0</v>
      </c>
      <c r="AC172" s="107">
        <v>0</v>
      </c>
      <c r="AD172" s="107">
        <v>0</v>
      </c>
      <c r="AE172" s="107">
        <v>0</v>
      </c>
      <c r="AF172" s="107">
        <v>0</v>
      </c>
      <c r="AG172" s="112"/>
      <c r="AH172" s="112"/>
    </row>
    <row r="173" spans="1:34" ht="13.5" thickBot="1">
      <c r="A173" s="107">
        <v>432</v>
      </c>
      <c r="B173" s="107" t="s">
        <v>178</v>
      </c>
      <c r="C173" s="107" t="s">
        <v>177</v>
      </c>
      <c r="D173" s="109">
        <v>0</v>
      </c>
      <c r="E173" s="107">
        <v>100</v>
      </c>
      <c r="F173" s="107">
        <v>0</v>
      </c>
      <c r="G173" s="107">
        <v>89</v>
      </c>
      <c r="H173" s="107">
        <v>11.8</v>
      </c>
      <c r="I173" s="107">
        <v>0</v>
      </c>
      <c r="J173" s="110">
        <v>88</v>
      </c>
      <c r="K173" s="111">
        <f t="shared" si="7"/>
        <v>1.4461519999999999</v>
      </c>
      <c r="L173" s="111">
        <f t="shared" si="9"/>
        <v>0.99090269612556781</v>
      </c>
      <c r="M173" s="111">
        <f t="shared" si="8"/>
        <v>0.68155075321065228</v>
      </c>
      <c r="N173" s="107">
        <v>14.2</v>
      </c>
      <c r="O173" s="107">
        <v>77</v>
      </c>
      <c r="P173" s="107">
        <v>2.34</v>
      </c>
      <c r="Q173" s="107">
        <v>0.05</v>
      </c>
      <c r="R173" s="107">
        <v>0.44</v>
      </c>
      <c r="S173" s="107">
        <v>0.13</v>
      </c>
      <c r="T173" s="107">
        <v>0.4</v>
      </c>
      <c r="U173" s="107">
        <v>0.01</v>
      </c>
      <c r="V173" s="107">
        <v>0.14000000000000001</v>
      </c>
      <c r="W173" s="107">
        <v>0.497</v>
      </c>
      <c r="X173" s="107">
        <v>6.5</v>
      </c>
      <c r="Y173" s="107">
        <v>0.10100000000000001</v>
      </c>
      <c r="Z173" s="107">
        <v>45.1</v>
      </c>
      <c r="AA173" s="107">
        <v>36.6</v>
      </c>
      <c r="AB173" s="107">
        <v>0.05</v>
      </c>
      <c r="AC173" s="107">
        <v>38.1</v>
      </c>
      <c r="AD173" s="107">
        <v>0</v>
      </c>
      <c r="AE173" s="107">
        <v>0</v>
      </c>
      <c r="AF173" s="107">
        <v>17</v>
      </c>
      <c r="AG173" s="112"/>
      <c r="AH173" s="112"/>
    </row>
    <row r="174" spans="1:34" ht="13.5" thickBot="1">
      <c r="A174" s="107">
        <v>433</v>
      </c>
      <c r="B174" s="107" t="s">
        <v>180</v>
      </c>
      <c r="C174" s="107" t="s">
        <v>179</v>
      </c>
      <c r="D174" s="109">
        <v>0</v>
      </c>
      <c r="E174" s="107">
        <v>100</v>
      </c>
      <c r="F174" s="107">
        <v>0</v>
      </c>
      <c r="G174" s="107">
        <v>89</v>
      </c>
      <c r="H174" s="107">
        <v>35</v>
      </c>
      <c r="I174" s="107">
        <v>2</v>
      </c>
      <c r="J174" s="110">
        <v>83</v>
      </c>
      <c r="K174" s="111">
        <f t="shared" si="7"/>
        <v>1.3639842727272726</v>
      </c>
      <c r="L174" s="111">
        <f t="shared" si="9"/>
        <v>0.92369627828217837</v>
      </c>
      <c r="M174" s="111">
        <f t="shared" si="8"/>
        <v>0.62451812525214734</v>
      </c>
      <c r="N174" s="107">
        <v>18.399999999999999</v>
      </c>
      <c r="O174" s="107">
        <v>77.154076425569556</v>
      </c>
      <c r="P174" s="107">
        <v>3.2</v>
      </c>
      <c r="Q174" s="107">
        <v>0.15</v>
      </c>
      <c r="R174" s="107">
        <v>1</v>
      </c>
      <c r="S174" s="107">
        <v>0.38</v>
      </c>
      <c r="T174" s="107">
        <v>1.1000000000000001</v>
      </c>
      <c r="U174" s="107">
        <v>0.01</v>
      </c>
      <c r="V174" s="107">
        <v>0.19</v>
      </c>
      <c r="W174" s="107">
        <v>0.11</v>
      </c>
      <c r="X174" s="107">
        <v>11</v>
      </c>
      <c r="Y174" s="107">
        <v>0.123</v>
      </c>
      <c r="Z174" s="107">
        <v>110</v>
      </c>
      <c r="AA174" s="107">
        <v>128.30000000000001</v>
      </c>
      <c r="AB174" s="107">
        <v>0.82799999999999996</v>
      </c>
      <c r="AC174" s="107">
        <v>109.1</v>
      </c>
      <c r="AD174" s="107">
        <v>5.8</v>
      </c>
      <c r="AE174" s="107">
        <v>0</v>
      </c>
      <c r="AF174" s="107">
        <v>26.9</v>
      </c>
      <c r="AG174" s="112"/>
      <c r="AH174" s="112"/>
    </row>
    <row r="175" spans="1:34" ht="13.5" thickBot="1">
      <c r="A175" s="107">
        <v>434</v>
      </c>
      <c r="B175" s="107" t="s">
        <v>182</v>
      </c>
      <c r="C175" s="107" t="s">
        <v>181</v>
      </c>
      <c r="D175" s="109">
        <v>0</v>
      </c>
      <c r="E175" s="107">
        <v>100</v>
      </c>
      <c r="F175" s="107">
        <v>0</v>
      </c>
      <c r="G175" s="107">
        <v>88</v>
      </c>
      <c r="H175" s="107">
        <v>11.7</v>
      </c>
      <c r="I175" s="107">
        <v>0</v>
      </c>
      <c r="J175" s="110">
        <v>84</v>
      </c>
      <c r="K175" s="111">
        <f t="shared" si="7"/>
        <v>1.3804178181818179</v>
      </c>
      <c r="L175" s="111">
        <f t="shared" si="9"/>
        <v>0.9372354710413312</v>
      </c>
      <c r="M175" s="111">
        <f t="shared" si="8"/>
        <v>0.63607086875109964</v>
      </c>
      <c r="N175" s="107">
        <v>14.2</v>
      </c>
      <c r="O175" s="107">
        <v>73.951412677920672</v>
      </c>
      <c r="P175" s="107">
        <v>2</v>
      </c>
      <c r="Q175" s="107">
        <v>0.05</v>
      </c>
      <c r="R175" s="107">
        <v>0.42</v>
      </c>
      <c r="S175" s="107">
        <v>0.16</v>
      </c>
      <c r="T175" s="107">
        <v>0.41</v>
      </c>
      <c r="U175" s="107">
        <v>0.02</v>
      </c>
      <c r="V175" s="107">
        <v>0.17</v>
      </c>
      <c r="W175" s="107">
        <v>0.14000000000000001</v>
      </c>
      <c r="X175" s="107">
        <v>6.8</v>
      </c>
      <c r="Y175" s="107">
        <v>0</v>
      </c>
      <c r="Z175" s="107">
        <v>70</v>
      </c>
      <c r="AA175" s="107">
        <v>42.2</v>
      </c>
      <c r="AB175" s="107">
        <v>0.3</v>
      </c>
      <c r="AC175" s="107">
        <v>43.3</v>
      </c>
      <c r="AD175" s="107">
        <v>0</v>
      </c>
      <c r="AE175" s="107">
        <v>0</v>
      </c>
      <c r="AF175" s="107">
        <v>14.4</v>
      </c>
      <c r="AG175" s="112"/>
      <c r="AH175" s="112"/>
    </row>
    <row r="176" spans="1:34" ht="13.5" thickBot="1">
      <c r="A176" s="107">
        <v>435</v>
      </c>
      <c r="B176" s="107" t="s">
        <v>184</v>
      </c>
      <c r="C176" s="107" t="s">
        <v>183</v>
      </c>
      <c r="D176" s="109">
        <v>0</v>
      </c>
      <c r="E176" s="107">
        <v>100</v>
      </c>
      <c r="F176" s="107">
        <v>0</v>
      </c>
      <c r="G176" s="107">
        <v>90</v>
      </c>
      <c r="H176" s="107">
        <v>9.6999999999999993</v>
      </c>
      <c r="I176" s="107">
        <v>0</v>
      </c>
      <c r="J176" s="110">
        <v>85</v>
      </c>
      <c r="K176" s="111">
        <f t="shared" si="7"/>
        <v>1.3968513636363633</v>
      </c>
      <c r="L176" s="111">
        <f t="shared" si="9"/>
        <v>0.95072435594999138</v>
      </c>
      <c r="M176" s="111">
        <f t="shared" si="8"/>
        <v>0.64754893094270127</v>
      </c>
      <c r="N176" s="107">
        <v>11.3</v>
      </c>
      <c r="O176" s="107">
        <v>73.951412677920672</v>
      </c>
      <c r="P176" s="107">
        <v>1.9</v>
      </c>
      <c r="Q176" s="107">
        <v>7.0000000000000007E-2</v>
      </c>
      <c r="R176" s="107">
        <v>0.33</v>
      </c>
      <c r="S176" s="107">
        <v>0.11</v>
      </c>
      <c r="T176" s="107">
        <v>0.43</v>
      </c>
      <c r="U176" s="107">
        <v>0.02</v>
      </c>
      <c r="V176" s="107">
        <v>0.13</v>
      </c>
      <c r="W176" s="107">
        <v>0.15</v>
      </c>
      <c r="X176" s="107">
        <v>7.8</v>
      </c>
      <c r="Y176" s="107">
        <v>0</v>
      </c>
      <c r="Z176" s="107">
        <v>40</v>
      </c>
      <c r="AA176" s="107">
        <v>40</v>
      </c>
      <c r="AB176" s="107">
        <v>5.0999999999999997E-2</v>
      </c>
      <c r="AC176" s="107">
        <v>30</v>
      </c>
      <c r="AD176" s="107">
        <v>0</v>
      </c>
      <c r="AE176" s="107">
        <v>0</v>
      </c>
      <c r="AF176" s="107">
        <v>34.200000000000003</v>
      </c>
      <c r="AG176" s="112"/>
      <c r="AH176" s="112"/>
    </row>
    <row r="177" spans="1:34" ht="13.5" thickBot="1">
      <c r="A177" s="107">
        <v>436</v>
      </c>
      <c r="B177" s="116" t="s">
        <v>48</v>
      </c>
      <c r="C177" s="116"/>
      <c r="D177" s="109">
        <v>0</v>
      </c>
      <c r="E177" s="116">
        <v>100</v>
      </c>
      <c r="F177" s="116">
        <v>0</v>
      </c>
      <c r="G177" s="116">
        <v>100</v>
      </c>
      <c r="H177" s="116">
        <v>0</v>
      </c>
      <c r="I177" s="116">
        <v>0</v>
      </c>
      <c r="J177" s="119">
        <v>0</v>
      </c>
      <c r="K177" s="111">
        <f t="shared" si="7"/>
        <v>0</v>
      </c>
      <c r="L177" s="111">
        <f t="shared" si="9"/>
        <v>0</v>
      </c>
      <c r="M177" s="111">
        <f t="shared" si="8"/>
        <v>0</v>
      </c>
      <c r="N177" s="116">
        <v>0</v>
      </c>
      <c r="O177" s="116">
        <v>0</v>
      </c>
      <c r="P177" s="116">
        <v>0</v>
      </c>
      <c r="Q177" s="116">
        <v>0</v>
      </c>
      <c r="R177" s="116">
        <v>0</v>
      </c>
      <c r="S177" s="116">
        <v>0</v>
      </c>
      <c r="T177" s="116">
        <v>0</v>
      </c>
      <c r="U177" s="116">
        <v>0</v>
      </c>
      <c r="V177" s="116">
        <v>0</v>
      </c>
      <c r="W177" s="116">
        <v>0</v>
      </c>
      <c r="X177" s="116">
        <v>0</v>
      </c>
      <c r="Y177" s="116">
        <v>0</v>
      </c>
      <c r="Z177" s="116">
        <v>0</v>
      </c>
      <c r="AA177" s="116">
        <v>0</v>
      </c>
      <c r="AB177" s="116">
        <v>0</v>
      </c>
      <c r="AC177" s="116">
        <v>0</v>
      </c>
      <c r="AD177" s="116">
        <v>0</v>
      </c>
      <c r="AE177" s="116">
        <v>0</v>
      </c>
      <c r="AF177" s="116">
        <v>0</v>
      </c>
      <c r="AG177" s="120"/>
      <c r="AH177" s="120"/>
    </row>
    <row r="178" spans="1:34" ht="13.5" thickBot="1">
      <c r="A178" s="107">
        <v>437</v>
      </c>
      <c r="B178" s="116" t="s">
        <v>48</v>
      </c>
      <c r="C178" s="116"/>
      <c r="D178" s="109">
        <v>0</v>
      </c>
      <c r="E178" s="116">
        <v>100</v>
      </c>
      <c r="F178" s="116">
        <v>0</v>
      </c>
      <c r="G178" s="116">
        <v>100</v>
      </c>
      <c r="H178" s="116">
        <v>0</v>
      </c>
      <c r="I178" s="116">
        <v>0</v>
      </c>
      <c r="J178" s="119">
        <v>0</v>
      </c>
      <c r="K178" s="111">
        <f t="shared" si="7"/>
        <v>0</v>
      </c>
      <c r="L178" s="111">
        <f t="shared" si="9"/>
        <v>0</v>
      </c>
      <c r="M178" s="111">
        <f t="shared" si="8"/>
        <v>0</v>
      </c>
      <c r="N178" s="116">
        <v>0</v>
      </c>
      <c r="O178" s="116">
        <v>0</v>
      </c>
      <c r="P178" s="116">
        <v>0</v>
      </c>
      <c r="Q178" s="116">
        <v>0</v>
      </c>
      <c r="R178" s="116">
        <v>0</v>
      </c>
      <c r="S178" s="116">
        <v>0</v>
      </c>
      <c r="T178" s="116">
        <v>0</v>
      </c>
      <c r="U178" s="116">
        <v>0</v>
      </c>
      <c r="V178" s="116">
        <v>0</v>
      </c>
      <c r="W178" s="116">
        <v>0</v>
      </c>
      <c r="X178" s="116">
        <v>0</v>
      </c>
      <c r="Y178" s="116">
        <v>0</v>
      </c>
      <c r="Z178" s="116">
        <v>0</v>
      </c>
      <c r="AA178" s="116">
        <v>0</v>
      </c>
      <c r="AB178" s="116">
        <v>0</v>
      </c>
      <c r="AC178" s="116">
        <v>0</v>
      </c>
      <c r="AD178" s="116">
        <v>0</v>
      </c>
      <c r="AE178" s="116">
        <v>0</v>
      </c>
      <c r="AF178" s="116">
        <v>0</v>
      </c>
      <c r="AG178" s="120"/>
      <c r="AH178" s="120"/>
    </row>
    <row r="179" spans="1:34" ht="13.5" thickBot="1">
      <c r="A179" s="107">
        <v>438</v>
      </c>
      <c r="B179" s="116" t="s">
        <v>48</v>
      </c>
      <c r="C179" s="116"/>
      <c r="D179" s="109">
        <v>0</v>
      </c>
      <c r="E179" s="116">
        <v>100</v>
      </c>
      <c r="F179" s="116">
        <v>0</v>
      </c>
      <c r="G179" s="116">
        <v>100</v>
      </c>
      <c r="H179" s="116">
        <v>0</v>
      </c>
      <c r="I179" s="116">
        <v>0</v>
      </c>
      <c r="J179" s="119">
        <v>0</v>
      </c>
      <c r="K179" s="111">
        <f t="shared" si="7"/>
        <v>0</v>
      </c>
      <c r="L179" s="111">
        <f t="shared" si="9"/>
        <v>0</v>
      </c>
      <c r="M179" s="111">
        <f t="shared" si="8"/>
        <v>0</v>
      </c>
      <c r="N179" s="116">
        <v>0</v>
      </c>
      <c r="O179" s="116">
        <v>0</v>
      </c>
      <c r="P179" s="116">
        <v>0</v>
      </c>
      <c r="Q179" s="116">
        <v>0</v>
      </c>
      <c r="R179" s="116">
        <v>0</v>
      </c>
      <c r="S179" s="116">
        <v>0</v>
      </c>
      <c r="T179" s="116">
        <v>0</v>
      </c>
      <c r="U179" s="116">
        <v>0</v>
      </c>
      <c r="V179" s="116">
        <v>0</v>
      </c>
      <c r="W179" s="116">
        <v>0</v>
      </c>
      <c r="X179" s="116">
        <v>0</v>
      </c>
      <c r="Y179" s="116">
        <v>0</v>
      </c>
      <c r="Z179" s="116">
        <v>0</v>
      </c>
      <c r="AA179" s="116">
        <v>0</v>
      </c>
      <c r="AB179" s="116">
        <v>0</v>
      </c>
      <c r="AC179" s="116">
        <v>0</v>
      </c>
      <c r="AD179" s="116">
        <v>0</v>
      </c>
      <c r="AE179" s="116">
        <v>0</v>
      </c>
      <c r="AF179" s="116">
        <v>0</v>
      </c>
      <c r="AG179" s="120"/>
      <c r="AH179" s="120"/>
    </row>
    <row r="180" spans="1:34" ht="13.5" thickBot="1">
      <c r="A180" s="107">
        <v>439</v>
      </c>
      <c r="B180" s="116" t="s">
        <v>48</v>
      </c>
      <c r="C180" s="116"/>
      <c r="D180" s="109">
        <v>0</v>
      </c>
      <c r="E180" s="116">
        <v>100</v>
      </c>
      <c r="F180" s="116">
        <v>0</v>
      </c>
      <c r="G180" s="116">
        <v>100</v>
      </c>
      <c r="H180" s="116">
        <v>0</v>
      </c>
      <c r="I180" s="116">
        <v>0</v>
      </c>
      <c r="J180" s="119">
        <v>0</v>
      </c>
      <c r="K180" s="111">
        <f t="shared" si="7"/>
        <v>0</v>
      </c>
      <c r="L180" s="111">
        <f t="shared" si="9"/>
        <v>0</v>
      </c>
      <c r="M180" s="111">
        <f t="shared" si="8"/>
        <v>0</v>
      </c>
      <c r="N180" s="116">
        <v>0</v>
      </c>
      <c r="O180" s="116">
        <v>0</v>
      </c>
      <c r="P180" s="116">
        <v>0</v>
      </c>
      <c r="Q180" s="116">
        <v>0</v>
      </c>
      <c r="R180" s="116">
        <v>0</v>
      </c>
      <c r="S180" s="116">
        <v>0</v>
      </c>
      <c r="T180" s="116">
        <v>0</v>
      </c>
      <c r="U180" s="116">
        <v>0</v>
      </c>
      <c r="V180" s="116">
        <v>0</v>
      </c>
      <c r="W180" s="116">
        <v>0</v>
      </c>
      <c r="X180" s="116">
        <v>0</v>
      </c>
      <c r="Y180" s="116">
        <v>0</v>
      </c>
      <c r="Z180" s="116">
        <v>0</v>
      </c>
      <c r="AA180" s="116">
        <v>0</v>
      </c>
      <c r="AB180" s="116">
        <v>0</v>
      </c>
      <c r="AC180" s="116">
        <v>0</v>
      </c>
      <c r="AD180" s="116">
        <v>0</v>
      </c>
      <c r="AE180" s="116">
        <v>0</v>
      </c>
      <c r="AF180" s="116">
        <v>0</v>
      </c>
      <c r="AG180" s="120"/>
      <c r="AH180" s="120"/>
    </row>
    <row r="181" spans="1:34" ht="13.5" thickBot="1">
      <c r="A181" s="107">
        <v>440</v>
      </c>
      <c r="B181" s="116" t="s">
        <v>48</v>
      </c>
      <c r="C181" s="116"/>
      <c r="D181" s="109">
        <v>0</v>
      </c>
      <c r="E181" s="116">
        <v>100</v>
      </c>
      <c r="F181" s="116">
        <v>0</v>
      </c>
      <c r="G181" s="116">
        <v>100</v>
      </c>
      <c r="H181" s="116">
        <v>0</v>
      </c>
      <c r="I181" s="116">
        <v>0</v>
      </c>
      <c r="J181" s="119">
        <v>0</v>
      </c>
      <c r="K181" s="111">
        <f t="shared" si="7"/>
        <v>0</v>
      </c>
      <c r="L181" s="111">
        <f t="shared" si="9"/>
        <v>0</v>
      </c>
      <c r="M181" s="111">
        <f t="shared" si="8"/>
        <v>0</v>
      </c>
      <c r="N181" s="116">
        <v>0</v>
      </c>
      <c r="O181" s="116">
        <v>0</v>
      </c>
      <c r="P181" s="116">
        <v>0</v>
      </c>
      <c r="Q181" s="116">
        <v>0</v>
      </c>
      <c r="R181" s="116">
        <v>0</v>
      </c>
      <c r="S181" s="116">
        <v>0</v>
      </c>
      <c r="T181" s="116">
        <v>0</v>
      </c>
      <c r="U181" s="116">
        <v>0</v>
      </c>
      <c r="V181" s="116">
        <v>0</v>
      </c>
      <c r="W181" s="116">
        <v>0</v>
      </c>
      <c r="X181" s="116">
        <v>0</v>
      </c>
      <c r="Y181" s="116">
        <v>0</v>
      </c>
      <c r="Z181" s="116">
        <v>0</v>
      </c>
      <c r="AA181" s="116">
        <v>0</v>
      </c>
      <c r="AB181" s="116">
        <v>0</v>
      </c>
      <c r="AC181" s="116">
        <v>0</v>
      </c>
      <c r="AD181" s="116">
        <v>0</v>
      </c>
      <c r="AE181" s="116">
        <v>0</v>
      </c>
      <c r="AF181" s="116">
        <v>0</v>
      </c>
      <c r="AG181" s="120"/>
      <c r="AH181" s="120"/>
    </row>
    <row r="182" spans="1:34" ht="13.5" thickBot="1">
      <c r="A182" s="107">
        <v>441</v>
      </c>
      <c r="B182" s="116" t="s">
        <v>48</v>
      </c>
      <c r="C182" s="116"/>
      <c r="D182" s="109">
        <v>0</v>
      </c>
      <c r="E182" s="116">
        <v>100</v>
      </c>
      <c r="F182" s="116">
        <v>0</v>
      </c>
      <c r="G182" s="116">
        <v>100</v>
      </c>
      <c r="H182" s="116">
        <v>0</v>
      </c>
      <c r="I182" s="116">
        <v>0</v>
      </c>
      <c r="J182" s="119">
        <v>0</v>
      </c>
      <c r="K182" s="111">
        <f t="shared" si="7"/>
        <v>0</v>
      </c>
      <c r="L182" s="111">
        <f t="shared" si="9"/>
        <v>0</v>
      </c>
      <c r="M182" s="111">
        <f t="shared" si="8"/>
        <v>0</v>
      </c>
      <c r="N182" s="116">
        <v>0</v>
      </c>
      <c r="O182" s="116">
        <v>0</v>
      </c>
      <c r="P182" s="116">
        <v>0</v>
      </c>
      <c r="Q182" s="116">
        <v>0</v>
      </c>
      <c r="R182" s="116">
        <v>0</v>
      </c>
      <c r="S182" s="116">
        <v>0</v>
      </c>
      <c r="T182" s="116">
        <v>0</v>
      </c>
      <c r="U182" s="116">
        <v>0</v>
      </c>
      <c r="V182" s="116">
        <v>0</v>
      </c>
      <c r="W182" s="116">
        <v>0</v>
      </c>
      <c r="X182" s="116">
        <v>0</v>
      </c>
      <c r="Y182" s="116">
        <v>0</v>
      </c>
      <c r="Z182" s="116">
        <v>0</v>
      </c>
      <c r="AA182" s="116">
        <v>0</v>
      </c>
      <c r="AB182" s="116">
        <v>0</v>
      </c>
      <c r="AC182" s="116">
        <v>0</v>
      </c>
      <c r="AD182" s="116">
        <v>0</v>
      </c>
      <c r="AE182" s="116">
        <v>0</v>
      </c>
      <c r="AF182" s="116">
        <v>0</v>
      </c>
      <c r="AG182" s="120"/>
      <c r="AH182" s="120"/>
    </row>
    <row r="183" spans="1:34" ht="13.5" thickBot="1">
      <c r="A183" s="107">
        <v>442</v>
      </c>
      <c r="B183" s="116" t="s">
        <v>48</v>
      </c>
      <c r="C183" s="116"/>
      <c r="D183" s="109">
        <v>0</v>
      </c>
      <c r="E183" s="116">
        <v>100</v>
      </c>
      <c r="F183" s="116">
        <v>0</v>
      </c>
      <c r="G183" s="116">
        <v>100</v>
      </c>
      <c r="H183" s="116">
        <v>0</v>
      </c>
      <c r="I183" s="116">
        <v>0</v>
      </c>
      <c r="J183" s="119">
        <v>0</v>
      </c>
      <c r="K183" s="111">
        <f t="shared" si="7"/>
        <v>0</v>
      </c>
      <c r="L183" s="111">
        <f t="shared" si="9"/>
        <v>0</v>
      </c>
      <c r="M183" s="111">
        <f t="shared" si="8"/>
        <v>0</v>
      </c>
      <c r="N183" s="116">
        <v>0</v>
      </c>
      <c r="O183" s="116">
        <v>0</v>
      </c>
      <c r="P183" s="116">
        <v>0</v>
      </c>
      <c r="Q183" s="116">
        <v>0</v>
      </c>
      <c r="R183" s="116">
        <v>0</v>
      </c>
      <c r="S183" s="116">
        <v>0</v>
      </c>
      <c r="T183" s="116">
        <v>0</v>
      </c>
      <c r="U183" s="116">
        <v>0</v>
      </c>
      <c r="V183" s="116">
        <v>0</v>
      </c>
      <c r="W183" s="116">
        <v>0</v>
      </c>
      <c r="X183" s="116">
        <v>0</v>
      </c>
      <c r="Y183" s="116">
        <v>0</v>
      </c>
      <c r="Z183" s="116">
        <v>0</v>
      </c>
      <c r="AA183" s="116">
        <v>0</v>
      </c>
      <c r="AB183" s="116">
        <v>0</v>
      </c>
      <c r="AC183" s="116">
        <v>0</v>
      </c>
      <c r="AD183" s="116">
        <v>0</v>
      </c>
      <c r="AE183" s="116">
        <v>0</v>
      </c>
      <c r="AF183" s="116">
        <v>0</v>
      </c>
      <c r="AG183" s="120"/>
      <c r="AH183" s="120"/>
    </row>
    <row r="184" spans="1:34" ht="13.5" thickBot="1">
      <c r="A184" s="107">
        <v>443</v>
      </c>
      <c r="B184" s="116" t="s">
        <v>48</v>
      </c>
      <c r="C184" s="116"/>
      <c r="D184" s="109">
        <v>0</v>
      </c>
      <c r="E184" s="116">
        <v>100</v>
      </c>
      <c r="F184" s="116">
        <v>0</v>
      </c>
      <c r="G184" s="116">
        <v>100</v>
      </c>
      <c r="H184" s="116">
        <v>0</v>
      </c>
      <c r="I184" s="116">
        <v>0</v>
      </c>
      <c r="J184" s="119">
        <v>0</v>
      </c>
      <c r="K184" s="111">
        <f t="shared" si="7"/>
        <v>0</v>
      </c>
      <c r="L184" s="111">
        <f t="shared" si="9"/>
        <v>0</v>
      </c>
      <c r="M184" s="111">
        <f t="shared" si="8"/>
        <v>0</v>
      </c>
      <c r="N184" s="116">
        <v>0</v>
      </c>
      <c r="O184" s="116">
        <v>0</v>
      </c>
      <c r="P184" s="116">
        <v>0</v>
      </c>
      <c r="Q184" s="116">
        <v>0</v>
      </c>
      <c r="R184" s="116">
        <v>0</v>
      </c>
      <c r="S184" s="116">
        <v>0</v>
      </c>
      <c r="T184" s="116">
        <v>0</v>
      </c>
      <c r="U184" s="116">
        <v>0</v>
      </c>
      <c r="V184" s="116">
        <v>0</v>
      </c>
      <c r="W184" s="116">
        <v>0</v>
      </c>
      <c r="X184" s="116">
        <v>0</v>
      </c>
      <c r="Y184" s="116">
        <v>0</v>
      </c>
      <c r="Z184" s="116">
        <v>0</v>
      </c>
      <c r="AA184" s="116">
        <v>0</v>
      </c>
      <c r="AB184" s="116">
        <v>0</v>
      </c>
      <c r="AC184" s="116">
        <v>0</v>
      </c>
      <c r="AD184" s="116">
        <v>0</v>
      </c>
      <c r="AE184" s="116">
        <v>0</v>
      </c>
      <c r="AF184" s="116">
        <v>0</v>
      </c>
      <c r="AG184" s="120"/>
      <c r="AH184" s="120"/>
    </row>
    <row r="185" spans="1:34" ht="13.5" thickBot="1">
      <c r="A185" s="107">
        <v>444</v>
      </c>
      <c r="B185" s="116" t="s">
        <v>48</v>
      </c>
      <c r="C185" s="116"/>
      <c r="D185" s="109">
        <v>0</v>
      </c>
      <c r="E185" s="116">
        <v>100</v>
      </c>
      <c r="F185" s="116">
        <v>0</v>
      </c>
      <c r="G185" s="116">
        <v>100</v>
      </c>
      <c r="H185" s="116">
        <v>0</v>
      </c>
      <c r="I185" s="116">
        <v>0</v>
      </c>
      <c r="J185" s="119">
        <v>0</v>
      </c>
      <c r="K185" s="111">
        <f t="shared" ref="K185:K220" si="10">(J185*0.01*4.409*0.82)/2.2</f>
        <v>0</v>
      </c>
      <c r="L185" s="111">
        <f t="shared" si="9"/>
        <v>0</v>
      </c>
      <c r="M185" s="111">
        <f t="shared" ref="M185:M220" si="11">IF(J185=0,0,(1.42*(J185*0.01*4.409*0.82)-0.174*(J185*0.01*4.409*0.82)^2+0.0122*(J185*0.01*4.409*0.82)^3-1.65)/2.2)</f>
        <v>0</v>
      </c>
      <c r="N185" s="116">
        <v>0</v>
      </c>
      <c r="O185" s="116">
        <v>0</v>
      </c>
      <c r="P185" s="116">
        <v>0</v>
      </c>
      <c r="Q185" s="116">
        <v>0</v>
      </c>
      <c r="R185" s="116">
        <v>0</v>
      </c>
      <c r="S185" s="116">
        <v>0</v>
      </c>
      <c r="T185" s="116">
        <v>0</v>
      </c>
      <c r="U185" s="116">
        <v>0</v>
      </c>
      <c r="V185" s="116">
        <v>0</v>
      </c>
      <c r="W185" s="116">
        <v>0</v>
      </c>
      <c r="X185" s="116">
        <v>0</v>
      </c>
      <c r="Y185" s="116">
        <v>0</v>
      </c>
      <c r="Z185" s="116">
        <v>0</v>
      </c>
      <c r="AA185" s="116">
        <v>0</v>
      </c>
      <c r="AB185" s="116">
        <v>0</v>
      </c>
      <c r="AC185" s="116">
        <v>0</v>
      </c>
      <c r="AD185" s="116">
        <v>0</v>
      </c>
      <c r="AE185" s="116">
        <v>0</v>
      </c>
      <c r="AF185" s="116">
        <v>0</v>
      </c>
      <c r="AG185" s="120"/>
      <c r="AH185" s="120"/>
    </row>
    <row r="186" spans="1:34" ht="13.5" thickBot="1">
      <c r="A186" s="107">
        <v>501</v>
      </c>
      <c r="B186" s="107" t="s">
        <v>186</v>
      </c>
      <c r="C186" s="107" t="s">
        <v>185</v>
      </c>
      <c r="D186" s="109">
        <v>0</v>
      </c>
      <c r="E186" s="107">
        <v>100</v>
      </c>
      <c r="F186" s="107">
        <v>0</v>
      </c>
      <c r="G186" s="107">
        <v>21</v>
      </c>
      <c r="H186" s="107">
        <v>42</v>
      </c>
      <c r="I186" s="107">
        <v>18</v>
      </c>
      <c r="J186" s="110">
        <v>70</v>
      </c>
      <c r="K186" s="111">
        <f t="shared" si="10"/>
        <v>1.1503481818181815</v>
      </c>
      <c r="L186" s="111">
        <f t="shared" si="9"/>
        <v>0.74249302687727736</v>
      </c>
      <c r="M186" s="111">
        <f t="shared" si="11"/>
        <v>0.46682103985200518</v>
      </c>
      <c r="N186" s="107">
        <v>26</v>
      </c>
      <c r="O186" s="107">
        <v>40.857142854742854</v>
      </c>
      <c r="P186" s="107">
        <v>6.5</v>
      </c>
      <c r="Q186" s="107">
        <v>0.28999999999999998</v>
      </c>
      <c r="R186" s="107">
        <v>0.7</v>
      </c>
      <c r="S186" s="107">
        <v>0.27</v>
      </c>
      <c r="T186" s="107">
        <v>0.57999999999999996</v>
      </c>
      <c r="U186" s="107">
        <v>0.15</v>
      </c>
      <c r="V186" s="107">
        <v>0.34</v>
      </c>
      <c r="W186" s="107">
        <v>0.10100000000000001</v>
      </c>
      <c r="X186" s="107">
        <v>11.3</v>
      </c>
      <c r="Y186" s="107">
        <v>7.1999999999999995E-2</v>
      </c>
      <c r="Z186" s="107">
        <v>270</v>
      </c>
      <c r="AA186" s="107">
        <v>40.9</v>
      </c>
      <c r="AB186" s="107">
        <v>0</v>
      </c>
      <c r="AC186" s="107">
        <v>106</v>
      </c>
      <c r="AD186" s="107">
        <v>0.8</v>
      </c>
      <c r="AE186" s="107">
        <v>0</v>
      </c>
      <c r="AF186" s="107">
        <v>29</v>
      </c>
      <c r="AG186" s="112"/>
      <c r="AH186" s="112"/>
    </row>
    <row r="187" spans="1:34" ht="13.5" thickBot="1">
      <c r="A187" s="107">
        <v>502</v>
      </c>
      <c r="B187" s="107" t="s">
        <v>188</v>
      </c>
      <c r="C187" s="107" t="s">
        <v>187</v>
      </c>
      <c r="D187" s="109">
        <v>0</v>
      </c>
      <c r="E187" s="107">
        <v>100</v>
      </c>
      <c r="F187" s="107">
        <v>0</v>
      </c>
      <c r="G187" s="107">
        <v>92</v>
      </c>
      <c r="H187" s="107">
        <v>48.7</v>
      </c>
      <c r="I187" s="107">
        <v>18</v>
      </c>
      <c r="J187" s="110">
        <v>66</v>
      </c>
      <c r="K187" s="111">
        <f t="shared" si="10"/>
        <v>1.084614</v>
      </c>
      <c r="L187" s="111">
        <f t="shared" si="9"/>
        <v>0.68452159590899575</v>
      </c>
      <c r="M187" s="111">
        <f t="shared" si="11"/>
        <v>0.41517163498582677</v>
      </c>
      <c r="N187" s="107">
        <v>29.2</v>
      </c>
      <c r="O187" s="107">
        <v>34.115384613584595</v>
      </c>
      <c r="P187" s="107">
        <v>10.8</v>
      </c>
      <c r="Q187" s="107">
        <v>0.28999999999999998</v>
      </c>
      <c r="R187" s="107">
        <v>0.7</v>
      </c>
      <c r="S187" s="107">
        <v>0.27</v>
      </c>
      <c r="T187" s="107">
        <v>0.57999999999999996</v>
      </c>
      <c r="U187" s="107">
        <v>0.15</v>
      </c>
      <c r="V187" s="107">
        <v>0.4</v>
      </c>
      <c r="W187" s="107">
        <v>8.3000000000000004E-2</v>
      </c>
      <c r="X187" s="107">
        <v>11.3</v>
      </c>
      <c r="Y187" s="107">
        <v>7.1999999999999995E-2</v>
      </c>
      <c r="Z187" s="107">
        <v>221</v>
      </c>
      <c r="AA187" s="107">
        <v>44</v>
      </c>
      <c r="AB187" s="107">
        <v>0.76</v>
      </c>
      <c r="AC187" s="107">
        <v>82</v>
      </c>
      <c r="AD187" s="107">
        <v>0.8</v>
      </c>
      <c r="AE187" s="107">
        <v>0</v>
      </c>
      <c r="AF187" s="107">
        <v>29</v>
      </c>
      <c r="AG187" s="112"/>
      <c r="AH187" s="112"/>
    </row>
    <row r="188" spans="1:34" ht="13.5" thickBot="1">
      <c r="A188" s="107">
        <v>503</v>
      </c>
      <c r="B188" s="107" t="s">
        <v>190</v>
      </c>
      <c r="C188" s="107" t="s">
        <v>189</v>
      </c>
      <c r="D188" s="109">
        <v>0</v>
      </c>
      <c r="E188" s="107">
        <v>100</v>
      </c>
      <c r="F188" s="107">
        <v>0</v>
      </c>
      <c r="G188" s="107">
        <v>92</v>
      </c>
      <c r="H188" s="107">
        <v>27.2</v>
      </c>
      <c r="I188" s="107">
        <v>23</v>
      </c>
      <c r="J188" s="110">
        <v>69</v>
      </c>
      <c r="K188" s="111">
        <f t="shared" si="10"/>
        <v>1.1339146363636363</v>
      </c>
      <c r="L188" s="111">
        <f t="shared" si="9"/>
        <v>0.7281074324094412</v>
      </c>
      <c r="M188" s="111">
        <f t="shared" si="11"/>
        <v>0.45405766090902305</v>
      </c>
      <c r="N188" s="107">
        <v>40.9</v>
      </c>
      <c r="O188" s="107">
        <v>67.850027092048578</v>
      </c>
      <c r="P188" s="107">
        <v>3.47</v>
      </c>
      <c r="Q188" s="107">
        <v>0.7</v>
      </c>
      <c r="R188" s="107">
        <v>1.2</v>
      </c>
      <c r="S188" s="107">
        <v>0.56999999999999995</v>
      </c>
      <c r="T188" s="107">
        <v>1.37</v>
      </c>
      <c r="U188" s="107">
        <v>0.03</v>
      </c>
      <c r="V188" s="107">
        <v>1.17</v>
      </c>
      <c r="W188" s="107">
        <v>0</v>
      </c>
      <c r="X188" s="107">
        <v>7.95</v>
      </c>
      <c r="Y188" s="107">
        <v>0</v>
      </c>
      <c r="Z188" s="107">
        <v>211</v>
      </c>
      <c r="AA188" s="107">
        <v>55.8</v>
      </c>
      <c r="AB188" s="107">
        <v>0</v>
      </c>
      <c r="AC188" s="107">
        <v>71.5</v>
      </c>
      <c r="AD188" s="107">
        <v>0</v>
      </c>
      <c r="AE188" s="107">
        <v>0</v>
      </c>
      <c r="AF188" s="107">
        <v>0</v>
      </c>
      <c r="AG188" s="112"/>
      <c r="AH188" s="112"/>
    </row>
    <row r="189" spans="1:34" ht="13.5" thickBot="1">
      <c r="A189" s="107">
        <v>504</v>
      </c>
      <c r="B189" s="107" t="s">
        <v>191</v>
      </c>
      <c r="C189" s="107"/>
      <c r="D189" s="109">
        <v>0</v>
      </c>
      <c r="E189" s="107">
        <v>100</v>
      </c>
      <c r="F189" s="107">
        <v>0</v>
      </c>
      <c r="G189" s="107">
        <v>92</v>
      </c>
      <c r="H189" s="107">
        <v>56</v>
      </c>
      <c r="I189" s="107">
        <v>23</v>
      </c>
      <c r="J189" s="110">
        <v>64</v>
      </c>
      <c r="K189" s="111">
        <f t="shared" si="10"/>
        <v>1.0517469090909088</v>
      </c>
      <c r="L189" s="111">
        <f t="shared" si="9"/>
        <v>0.65509329477536848</v>
      </c>
      <c r="M189" s="111">
        <f t="shared" si="11"/>
        <v>0.38873531992123722</v>
      </c>
      <c r="N189" s="107">
        <v>21.5</v>
      </c>
      <c r="O189" s="107">
        <v>61.636823394465452</v>
      </c>
      <c r="P189" s="107">
        <v>7.4</v>
      </c>
      <c r="Q189" s="107">
        <v>0.21</v>
      </c>
      <c r="R189" s="107">
        <v>0.65</v>
      </c>
      <c r="S189" s="107">
        <v>0.33</v>
      </c>
      <c r="T189" s="107">
        <v>1.8</v>
      </c>
      <c r="U189" s="107">
        <v>0.04</v>
      </c>
      <c r="V189" s="107">
        <v>0.37</v>
      </c>
      <c r="W189" s="107">
        <v>0.13900000000000001</v>
      </c>
      <c r="X189" s="107">
        <v>18.2</v>
      </c>
      <c r="Y189" s="107">
        <v>0</v>
      </c>
      <c r="Z189" s="107">
        <v>750</v>
      </c>
      <c r="AA189" s="107">
        <v>76.599999999999994</v>
      </c>
      <c r="AB189" s="107">
        <v>0</v>
      </c>
      <c r="AC189" s="107">
        <v>53</v>
      </c>
      <c r="AD189" s="107">
        <v>0</v>
      </c>
      <c r="AE189" s="107">
        <v>0</v>
      </c>
      <c r="AF189" s="107">
        <v>0</v>
      </c>
      <c r="AG189" s="112"/>
      <c r="AH189" s="112"/>
    </row>
    <row r="190" spans="1:34" ht="13.5" thickBot="1">
      <c r="A190" s="107">
        <v>505</v>
      </c>
      <c r="B190" s="107" t="s">
        <v>194</v>
      </c>
      <c r="C190" s="107" t="s">
        <v>193</v>
      </c>
      <c r="D190" s="109">
        <v>0</v>
      </c>
      <c r="E190" s="107">
        <v>100</v>
      </c>
      <c r="F190" s="107">
        <v>0</v>
      </c>
      <c r="G190" s="107">
        <v>90</v>
      </c>
      <c r="H190" s="107">
        <v>36.200000000000003</v>
      </c>
      <c r="I190" s="107">
        <v>36</v>
      </c>
      <c r="J190" s="110">
        <v>80</v>
      </c>
      <c r="K190" s="111">
        <f t="shared" si="10"/>
        <v>1.3146836363636361</v>
      </c>
      <c r="L190" s="111">
        <f t="shared" si="9"/>
        <v>0.8827633203492109</v>
      </c>
      <c r="M190" s="111">
        <f t="shared" si="11"/>
        <v>0.58939608337393778</v>
      </c>
      <c r="N190" s="107">
        <v>23.8</v>
      </c>
      <c r="O190" s="107">
        <v>75</v>
      </c>
      <c r="P190" s="107">
        <v>3.91</v>
      </c>
      <c r="Q190" s="107">
        <v>7.0000000000000007E-2</v>
      </c>
      <c r="R190" s="107">
        <v>0.95</v>
      </c>
      <c r="S190" s="107">
        <v>0.4</v>
      </c>
      <c r="T190" s="107">
        <v>1.4</v>
      </c>
      <c r="U190" s="107">
        <v>0.26</v>
      </c>
      <c r="V190" s="107">
        <v>0.47</v>
      </c>
      <c r="W190" s="107">
        <v>9.7000000000000003E-2</v>
      </c>
      <c r="X190" s="107">
        <v>6.98</v>
      </c>
      <c r="Y190" s="107">
        <v>7.3999999999999996E-2</v>
      </c>
      <c r="Z190" s="107">
        <v>226</v>
      </c>
      <c r="AA190" s="107">
        <v>22.1</v>
      </c>
      <c r="AB190" s="107">
        <v>0.30199999999999999</v>
      </c>
      <c r="AC190" s="107">
        <v>73.3</v>
      </c>
      <c r="AD190" s="107">
        <v>1</v>
      </c>
      <c r="AE190" s="107">
        <v>0</v>
      </c>
      <c r="AF190" s="107">
        <v>94</v>
      </c>
      <c r="AG190" s="112"/>
      <c r="AH190" s="112"/>
    </row>
    <row r="191" spans="1:34" ht="13.5" thickBot="1">
      <c r="A191" s="107">
        <v>506</v>
      </c>
      <c r="B191" s="107" t="s">
        <v>196</v>
      </c>
      <c r="C191" s="107" t="s">
        <v>195</v>
      </c>
      <c r="D191" s="109">
        <v>0</v>
      </c>
      <c r="E191" s="107">
        <v>100</v>
      </c>
      <c r="F191" s="107">
        <v>0</v>
      </c>
      <c r="G191" s="107">
        <v>91</v>
      </c>
      <c r="H191" s="107">
        <v>37</v>
      </c>
      <c r="I191" s="107">
        <v>36</v>
      </c>
      <c r="J191" s="110">
        <v>84</v>
      </c>
      <c r="K191" s="111">
        <f t="shared" si="10"/>
        <v>1.3804178181818179</v>
      </c>
      <c r="L191" s="111">
        <f t="shared" si="9"/>
        <v>0.9372354710413312</v>
      </c>
      <c r="M191" s="111">
        <f t="shared" si="11"/>
        <v>0.63607086875109964</v>
      </c>
      <c r="N191" s="107">
        <v>46.8</v>
      </c>
      <c r="O191" s="107">
        <v>38.079959512370046</v>
      </c>
      <c r="P191" s="107">
        <v>2.4</v>
      </c>
      <c r="Q191" s="107">
        <v>0.16</v>
      </c>
      <c r="R191" s="107">
        <v>0.51</v>
      </c>
      <c r="S191" s="107">
        <v>0.06</v>
      </c>
      <c r="T191" s="107">
        <v>0.03</v>
      </c>
      <c r="U191" s="107">
        <v>0.1</v>
      </c>
      <c r="V191" s="107">
        <v>0.22</v>
      </c>
      <c r="W191" s="107">
        <v>8.5000000000000006E-2</v>
      </c>
      <c r="X191" s="107">
        <v>30.3</v>
      </c>
      <c r="Y191" s="107">
        <v>0</v>
      </c>
      <c r="Z191" s="107">
        <v>430</v>
      </c>
      <c r="AA191" s="107">
        <v>8.5</v>
      </c>
      <c r="AB191" s="107">
        <v>1.111</v>
      </c>
      <c r="AC191" s="107">
        <v>190.2</v>
      </c>
      <c r="AD191" s="107">
        <v>29.8</v>
      </c>
      <c r="AE191" s="107">
        <v>0</v>
      </c>
      <c r="AF191" s="107">
        <v>32</v>
      </c>
      <c r="AG191" s="112"/>
      <c r="AH191" s="112"/>
    </row>
    <row r="192" spans="1:34" ht="13.5" thickBot="1">
      <c r="A192" s="107">
        <v>507</v>
      </c>
      <c r="B192" s="107" t="s">
        <v>198</v>
      </c>
      <c r="C192" s="107" t="s">
        <v>197</v>
      </c>
      <c r="D192" s="109">
        <v>0</v>
      </c>
      <c r="E192" s="107">
        <v>100</v>
      </c>
      <c r="F192" s="107">
        <v>0</v>
      </c>
      <c r="G192" s="107">
        <v>91</v>
      </c>
      <c r="H192" s="107">
        <v>8.9</v>
      </c>
      <c r="I192" s="107">
        <v>36</v>
      </c>
      <c r="J192" s="110">
        <v>89</v>
      </c>
      <c r="K192" s="111">
        <f t="shared" si="10"/>
        <v>1.4625855454545453</v>
      </c>
      <c r="L192" s="111">
        <f t="shared" si="9"/>
        <v>1.0042038821848085</v>
      </c>
      <c r="M192" s="111">
        <f t="shared" si="11"/>
        <v>0.69274581371010135</v>
      </c>
      <c r="N192" s="107">
        <v>66.3</v>
      </c>
      <c r="O192" s="107">
        <v>41</v>
      </c>
      <c r="P192" s="107">
        <v>2.56</v>
      </c>
      <c r="Q192" s="107">
        <v>7.0000000000000007E-2</v>
      </c>
      <c r="R192" s="107">
        <v>0.61</v>
      </c>
      <c r="S192" s="107">
        <v>0.15</v>
      </c>
      <c r="T192" s="107">
        <v>0.48</v>
      </c>
      <c r="U192" s="107">
        <v>0.06</v>
      </c>
      <c r="V192" s="107">
        <v>0.9</v>
      </c>
      <c r="W192" s="107">
        <v>8.5000000000000006E-2</v>
      </c>
      <c r="X192" s="107">
        <v>4.76</v>
      </c>
      <c r="Y192" s="107">
        <v>0</v>
      </c>
      <c r="Z192" s="107">
        <v>159</v>
      </c>
      <c r="AA192" s="107">
        <v>20.6</v>
      </c>
      <c r="AB192" s="107">
        <v>0</v>
      </c>
      <c r="AC192" s="107">
        <v>61.4</v>
      </c>
      <c r="AD192" s="107">
        <v>14</v>
      </c>
      <c r="AE192" s="107">
        <v>0</v>
      </c>
      <c r="AF192" s="107">
        <v>26</v>
      </c>
      <c r="AG192" s="112"/>
      <c r="AH192" s="112"/>
    </row>
    <row r="193" spans="1:34" ht="13.5" thickBot="1">
      <c r="A193" s="107">
        <v>508</v>
      </c>
      <c r="B193" s="107" t="s">
        <v>200</v>
      </c>
      <c r="C193" s="107" t="s">
        <v>199</v>
      </c>
      <c r="D193" s="109">
        <v>0</v>
      </c>
      <c r="E193" s="107">
        <v>100</v>
      </c>
      <c r="F193" s="107">
        <v>0</v>
      </c>
      <c r="G193" s="107">
        <v>25</v>
      </c>
      <c r="H193" s="107">
        <v>46</v>
      </c>
      <c r="I193" s="107">
        <v>4</v>
      </c>
      <c r="J193" s="110">
        <v>88</v>
      </c>
      <c r="K193" s="111">
        <f t="shared" si="10"/>
        <v>1.4461519999999999</v>
      </c>
      <c r="L193" s="111">
        <f t="shared" si="9"/>
        <v>0.99090269612556781</v>
      </c>
      <c r="M193" s="111">
        <f t="shared" si="11"/>
        <v>0.68155075321065228</v>
      </c>
      <c r="N193" s="107">
        <v>29.5</v>
      </c>
      <c r="O193" s="107">
        <v>27.191746522010362</v>
      </c>
      <c r="P193" s="107">
        <v>10.3</v>
      </c>
      <c r="Q193" s="107">
        <v>0.32</v>
      </c>
      <c r="R193" s="107">
        <v>0.83</v>
      </c>
      <c r="S193" s="107">
        <v>0.33</v>
      </c>
      <c r="T193" s="107">
        <v>1.07</v>
      </c>
      <c r="U193" s="107">
        <v>0.24</v>
      </c>
      <c r="V193" s="107">
        <v>0.4</v>
      </c>
      <c r="W193" s="107">
        <v>0.18</v>
      </c>
      <c r="X193" s="107">
        <v>10.56</v>
      </c>
      <c r="Y193" s="107">
        <v>8.5000000000000006E-2</v>
      </c>
      <c r="Z193" s="107">
        <v>560</v>
      </c>
      <c r="AA193" s="107">
        <v>27.6</v>
      </c>
      <c r="AB193" s="107">
        <v>0.4</v>
      </c>
      <c r="AC193" s="107">
        <v>67.8</v>
      </c>
      <c r="AD193" s="107">
        <v>1.2</v>
      </c>
      <c r="AE193" s="107">
        <v>0</v>
      </c>
      <c r="AF193" s="107">
        <v>49.4</v>
      </c>
      <c r="AG193" s="112"/>
      <c r="AH193" s="112"/>
    </row>
    <row r="194" spans="1:34" ht="13.5" thickBot="1">
      <c r="A194" s="107">
        <v>509</v>
      </c>
      <c r="B194" s="107" t="s">
        <v>202</v>
      </c>
      <c r="C194" s="107" t="s">
        <v>201</v>
      </c>
      <c r="D194" s="109">
        <v>0</v>
      </c>
      <c r="E194" s="107">
        <v>100</v>
      </c>
      <c r="F194" s="107">
        <v>0</v>
      </c>
      <c r="G194" s="107">
        <v>91</v>
      </c>
      <c r="H194" s="107">
        <v>46</v>
      </c>
      <c r="I194" s="107">
        <v>4</v>
      </c>
      <c r="J194" s="110">
        <v>88</v>
      </c>
      <c r="K194" s="111">
        <f t="shared" si="10"/>
        <v>1.4461519999999999</v>
      </c>
      <c r="L194" s="111">
        <f t="shared" si="9"/>
        <v>0.99090269612556781</v>
      </c>
      <c r="M194" s="111">
        <f t="shared" si="11"/>
        <v>0.68155075321065228</v>
      </c>
      <c r="N194" s="107">
        <v>30.4</v>
      </c>
      <c r="O194" s="107">
        <v>27.966469102253825</v>
      </c>
      <c r="P194" s="107">
        <v>9.8000000000000007</v>
      </c>
      <c r="Q194" s="107">
        <v>0.32</v>
      </c>
      <c r="R194" s="107">
        <v>1.4</v>
      </c>
      <c r="S194" s="107">
        <v>0.65</v>
      </c>
      <c r="T194" s="107">
        <v>1.83</v>
      </c>
      <c r="U194" s="107">
        <v>0.24</v>
      </c>
      <c r="V194" s="107">
        <v>0.4</v>
      </c>
      <c r="W194" s="107">
        <v>0.18</v>
      </c>
      <c r="X194" s="107">
        <v>83.9</v>
      </c>
      <c r="Y194" s="107">
        <v>8.5000000000000006E-2</v>
      </c>
      <c r="Z194" s="107">
        <v>560</v>
      </c>
      <c r="AA194" s="107">
        <v>77.599999999999994</v>
      </c>
      <c r="AB194" s="107">
        <v>0.4</v>
      </c>
      <c r="AC194" s="107">
        <v>94.8</v>
      </c>
      <c r="AD194" s="107">
        <v>1.2</v>
      </c>
      <c r="AE194" s="107">
        <v>0</v>
      </c>
      <c r="AF194" s="107">
        <v>49.4</v>
      </c>
      <c r="AG194" s="112"/>
      <c r="AH194" s="112"/>
    </row>
    <row r="195" spans="1:34" ht="13.5" thickBot="1">
      <c r="A195" s="107">
        <v>510</v>
      </c>
      <c r="B195" s="107" t="s">
        <v>203</v>
      </c>
      <c r="C195" s="107" t="s">
        <v>201</v>
      </c>
      <c r="D195" s="109">
        <v>0</v>
      </c>
      <c r="E195" s="107">
        <v>100</v>
      </c>
      <c r="F195" s="107">
        <v>0</v>
      </c>
      <c r="G195" s="107">
        <v>91</v>
      </c>
      <c r="H195" s="107">
        <v>46</v>
      </c>
      <c r="I195" s="107">
        <v>4</v>
      </c>
      <c r="J195" s="110">
        <v>88</v>
      </c>
      <c r="K195" s="111">
        <f t="shared" si="10"/>
        <v>1.4461519999999999</v>
      </c>
      <c r="L195" s="111">
        <f t="shared" ref="L195:L230" si="12">IF(J195 = 0,0,(1.37*(J195*0.01*4.409*0.82)-0.138*(J195*0.01*4.409*0.82)^2+0.0105*(J195*0.01*4.409*0.82)^3-1.12)/2.2)</f>
        <v>0.99090269612556781</v>
      </c>
      <c r="M195" s="111">
        <f t="shared" si="11"/>
        <v>0.68155075321065228</v>
      </c>
      <c r="N195" s="107">
        <v>30.4</v>
      </c>
      <c r="O195" s="107">
        <v>26.350075659630875</v>
      </c>
      <c r="P195" s="107">
        <v>10.7</v>
      </c>
      <c r="Q195" s="107">
        <v>0.26</v>
      </c>
      <c r="R195" s="107">
        <v>0.83</v>
      </c>
      <c r="S195" s="107">
        <v>0.33</v>
      </c>
      <c r="T195" s="107">
        <v>1.08</v>
      </c>
      <c r="U195" s="107">
        <v>0.3</v>
      </c>
      <c r="V195" s="107">
        <v>0.44</v>
      </c>
      <c r="W195" s="107">
        <v>0.18</v>
      </c>
      <c r="X195" s="107">
        <v>10.6</v>
      </c>
      <c r="Y195" s="107">
        <v>8.5000000000000006E-2</v>
      </c>
      <c r="Z195" s="107">
        <v>358</v>
      </c>
      <c r="AA195" s="107">
        <v>27.6</v>
      </c>
      <c r="AB195" s="107">
        <v>0.4</v>
      </c>
      <c r="AC195" s="107">
        <v>67.8</v>
      </c>
      <c r="AD195" s="107">
        <v>1</v>
      </c>
      <c r="AE195" s="107">
        <v>0.6</v>
      </c>
      <c r="AF195" s="107">
        <v>43</v>
      </c>
      <c r="AG195" s="112"/>
      <c r="AH195" s="112"/>
    </row>
    <row r="196" spans="1:34" ht="13.5" thickBot="1">
      <c r="A196" s="107">
        <v>511</v>
      </c>
      <c r="B196" s="107" t="s">
        <v>204</v>
      </c>
      <c r="C196" s="107" t="s">
        <v>201</v>
      </c>
      <c r="D196" s="109">
        <v>0</v>
      </c>
      <c r="E196" s="107">
        <v>100</v>
      </c>
      <c r="F196" s="107">
        <v>0</v>
      </c>
      <c r="G196" s="107">
        <v>91</v>
      </c>
      <c r="H196" s="107">
        <v>46</v>
      </c>
      <c r="I196" s="107">
        <v>4</v>
      </c>
      <c r="J196" s="110">
        <v>88</v>
      </c>
      <c r="K196" s="111">
        <f t="shared" si="10"/>
        <v>1.4461519999999999</v>
      </c>
      <c r="L196" s="111">
        <f t="shared" si="12"/>
        <v>0.99090269612556781</v>
      </c>
      <c r="M196" s="111">
        <f t="shared" si="11"/>
        <v>0.68155075321065228</v>
      </c>
      <c r="N196" s="107">
        <v>30.4</v>
      </c>
      <c r="O196" s="107">
        <v>25.917288774384971</v>
      </c>
      <c r="P196" s="107">
        <v>9.8000000000000007</v>
      </c>
      <c r="Q196" s="107">
        <v>0.32</v>
      </c>
      <c r="R196" s="107">
        <v>1.4</v>
      </c>
      <c r="S196" s="107">
        <v>0.65</v>
      </c>
      <c r="T196" s="107">
        <v>1.83</v>
      </c>
      <c r="U196" s="107">
        <v>0.24</v>
      </c>
      <c r="V196" s="107">
        <v>0.4</v>
      </c>
      <c r="W196" s="107">
        <v>0.18</v>
      </c>
      <c r="X196" s="107">
        <v>83.9</v>
      </c>
      <c r="Y196" s="107">
        <v>8.5000000000000006E-2</v>
      </c>
      <c r="Z196" s="107">
        <v>560</v>
      </c>
      <c r="AA196" s="107">
        <v>77.599999999999994</v>
      </c>
      <c r="AB196" s="107">
        <v>0.4</v>
      </c>
      <c r="AC196" s="107">
        <v>94.8</v>
      </c>
      <c r="AD196" s="107">
        <v>1.2</v>
      </c>
      <c r="AE196" s="107">
        <v>0</v>
      </c>
      <c r="AF196" s="107">
        <v>49.4</v>
      </c>
      <c r="AG196" s="112"/>
      <c r="AH196" s="112"/>
    </row>
    <row r="197" spans="1:34" ht="13.5" thickBot="1">
      <c r="A197" s="107">
        <v>512</v>
      </c>
      <c r="B197" s="107" t="s">
        <v>205</v>
      </c>
      <c r="C197" s="107" t="s">
        <v>201</v>
      </c>
      <c r="D197" s="109">
        <v>0</v>
      </c>
      <c r="E197" s="107">
        <v>100</v>
      </c>
      <c r="F197" s="107">
        <v>0</v>
      </c>
      <c r="G197" s="107">
        <v>91</v>
      </c>
      <c r="H197" s="107">
        <v>46</v>
      </c>
      <c r="I197" s="107">
        <v>4</v>
      </c>
      <c r="J197" s="110">
        <v>88</v>
      </c>
      <c r="K197" s="111">
        <f t="shared" si="10"/>
        <v>1.4461519999999999</v>
      </c>
      <c r="L197" s="111">
        <f t="shared" si="12"/>
        <v>0.99090269612556781</v>
      </c>
      <c r="M197" s="111">
        <f t="shared" si="11"/>
        <v>0.68155075321065228</v>
      </c>
      <c r="N197" s="107">
        <v>30.4</v>
      </c>
      <c r="O197" s="107">
        <v>24.904174020286604</v>
      </c>
      <c r="P197" s="107">
        <v>9.8000000000000007</v>
      </c>
      <c r="Q197" s="107">
        <v>0.32</v>
      </c>
      <c r="R197" s="107">
        <v>1.4</v>
      </c>
      <c r="S197" s="107">
        <v>0.65</v>
      </c>
      <c r="T197" s="107">
        <v>1.83</v>
      </c>
      <c r="U197" s="107">
        <v>0.24</v>
      </c>
      <c r="V197" s="107">
        <v>0.4</v>
      </c>
      <c r="W197" s="107">
        <v>0.18</v>
      </c>
      <c r="X197" s="107">
        <v>83.9</v>
      </c>
      <c r="Y197" s="107">
        <v>8.5000000000000006E-2</v>
      </c>
      <c r="Z197" s="107">
        <v>560</v>
      </c>
      <c r="AA197" s="107">
        <v>77.599999999999994</v>
      </c>
      <c r="AB197" s="107">
        <v>0.4</v>
      </c>
      <c r="AC197" s="107">
        <v>94.8</v>
      </c>
      <c r="AD197" s="107">
        <v>1.2</v>
      </c>
      <c r="AE197" s="107">
        <v>0</v>
      </c>
      <c r="AF197" s="107">
        <v>49.4</v>
      </c>
      <c r="AG197" s="112"/>
      <c r="AH197" s="112"/>
    </row>
    <row r="198" spans="1:34" ht="13.5" thickBot="1">
      <c r="A198" s="107">
        <v>513</v>
      </c>
      <c r="B198" s="107" t="s">
        <v>207</v>
      </c>
      <c r="C198" s="107" t="s">
        <v>206</v>
      </c>
      <c r="D198" s="109">
        <v>0</v>
      </c>
      <c r="E198" s="107">
        <v>100</v>
      </c>
      <c r="F198" s="107">
        <v>0</v>
      </c>
      <c r="G198" s="107">
        <v>91</v>
      </c>
      <c r="H198" s="107">
        <v>23</v>
      </c>
      <c r="I198" s="107">
        <v>4</v>
      </c>
      <c r="J198" s="110">
        <v>88</v>
      </c>
      <c r="K198" s="111">
        <f t="shared" si="10"/>
        <v>1.4461519999999999</v>
      </c>
      <c r="L198" s="111">
        <f t="shared" si="12"/>
        <v>0.99090269612556781</v>
      </c>
      <c r="M198" s="111">
        <f t="shared" si="11"/>
        <v>0.68155075321065228</v>
      </c>
      <c r="N198" s="107">
        <v>29.7</v>
      </c>
      <c r="O198" s="107">
        <v>45.088524563763933</v>
      </c>
      <c r="P198" s="107">
        <v>9.1999999999999993</v>
      </c>
      <c r="Q198" s="107">
        <v>0.32</v>
      </c>
      <c r="R198" s="107">
        <v>1.4</v>
      </c>
      <c r="S198" s="107">
        <v>0.65</v>
      </c>
      <c r="T198" s="107">
        <v>1.83</v>
      </c>
      <c r="U198" s="107">
        <v>0.24</v>
      </c>
      <c r="V198" s="107">
        <v>0.4</v>
      </c>
      <c r="W198" s="107">
        <v>0.18</v>
      </c>
      <c r="X198" s="107">
        <v>83.9</v>
      </c>
      <c r="Y198" s="107">
        <v>8.5000000000000006E-2</v>
      </c>
      <c r="Z198" s="107">
        <v>560</v>
      </c>
      <c r="AA198" s="107">
        <v>77.599999999999994</v>
      </c>
      <c r="AB198" s="107">
        <v>0.4</v>
      </c>
      <c r="AC198" s="107">
        <v>94.8</v>
      </c>
      <c r="AD198" s="107">
        <v>1.2</v>
      </c>
      <c r="AE198" s="107">
        <v>0</v>
      </c>
      <c r="AF198" s="107">
        <v>49.4</v>
      </c>
      <c r="AG198" s="112"/>
      <c r="AH198" s="112"/>
    </row>
    <row r="199" spans="1:34" ht="13.5" thickBot="1">
      <c r="A199" s="107">
        <v>514</v>
      </c>
      <c r="B199" s="107" t="s">
        <v>208</v>
      </c>
      <c r="C199" s="107"/>
      <c r="D199" s="109">
        <v>0</v>
      </c>
      <c r="E199" s="107">
        <v>100</v>
      </c>
      <c r="F199" s="107">
        <v>0</v>
      </c>
      <c r="G199" s="107">
        <v>25</v>
      </c>
      <c r="H199" s="107">
        <v>40</v>
      </c>
      <c r="I199" s="107">
        <v>4</v>
      </c>
      <c r="J199" s="110">
        <v>90</v>
      </c>
      <c r="K199" s="111">
        <f t="shared" si="10"/>
        <v>1.4790190909090906</v>
      </c>
      <c r="L199" s="111">
        <f t="shared" si="12"/>
        <v>1.0174615266698315</v>
      </c>
      <c r="M199" s="111">
        <f t="shared" si="11"/>
        <v>0.70387405467082431</v>
      </c>
      <c r="N199" s="107">
        <v>26</v>
      </c>
      <c r="O199" s="107">
        <v>33.397225714894589</v>
      </c>
      <c r="P199" s="107">
        <v>9.9</v>
      </c>
      <c r="Q199" s="107">
        <v>0.32</v>
      </c>
      <c r="R199" s="107">
        <v>1.4</v>
      </c>
      <c r="S199" s="107">
        <v>0.65</v>
      </c>
      <c r="T199" s="107">
        <v>1.83</v>
      </c>
      <c r="U199" s="107">
        <v>0.24</v>
      </c>
      <c r="V199" s="107">
        <v>0.4</v>
      </c>
      <c r="W199" s="107">
        <v>0.18</v>
      </c>
      <c r="X199" s="107">
        <v>83.9</v>
      </c>
      <c r="Y199" s="107">
        <v>8.5000000000000006E-2</v>
      </c>
      <c r="Z199" s="107">
        <v>560</v>
      </c>
      <c r="AA199" s="107">
        <v>77.599999999999994</v>
      </c>
      <c r="AB199" s="107">
        <v>0.4</v>
      </c>
      <c r="AC199" s="107">
        <v>94.8</v>
      </c>
      <c r="AD199" s="107">
        <v>1.2</v>
      </c>
      <c r="AE199" s="107">
        <v>0</v>
      </c>
      <c r="AF199" s="107">
        <v>49.4</v>
      </c>
      <c r="AG199" s="112"/>
      <c r="AH199" s="112"/>
    </row>
    <row r="200" spans="1:34" ht="13.5" thickBot="1">
      <c r="A200" s="107">
        <v>515</v>
      </c>
      <c r="B200" s="107" t="s">
        <v>209</v>
      </c>
      <c r="C200" s="107"/>
      <c r="D200" s="109">
        <v>0</v>
      </c>
      <c r="E200" s="107">
        <v>100</v>
      </c>
      <c r="F200" s="107">
        <v>0</v>
      </c>
      <c r="G200" s="107">
        <v>90</v>
      </c>
      <c r="H200" s="107">
        <v>33</v>
      </c>
      <c r="I200" s="107">
        <v>0</v>
      </c>
      <c r="J200" s="110">
        <v>78</v>
      </c>
      <c r="K200" s="111">
        <f t="shared" si="10"/>
        <v>1.2818165454545454</v>
      </c>
      <c r="L200" s="111">
        <f t="shared" si="12"/>
        <v>0.85519833279509228</v>
      </c>
      <c r="M200" s="111">
        <f t="shared" si="11"/>
        <v>0.56557915576675344</v>
      </c>
      <c r="N200" s="107">
        <v>34.200000000000003</v>
      </c>
      <c r="O200" s="107">
        <v>69.199151264811633</v>
      </c>
      <c r="P200" s="107">
        <v>5.5</v>
      </c>
      <c r="Q200" s="107">
        <v>0.26</v>
      </c>
      <c r="R200" s="107">
        <v>0.44</v>
      </c>
      <c r="S200" s="107">
        <v>0</v>
      </c>
      <c r="T200" s="107">
        <v>0.91</v>
      </c>
      <c r="U200" s="107">
        <v>0</v>
      </c>
      <c r="V200" s="107">
        <v>0</v>
      </c>
      <c r="W200" s="107">
        <v>0</v>
      </c>
      <c r="X200" s="107">
        <v>0</v>
      </c>
      <c r="Y200" s="107">
        <v>0</v>
      </c>
      <c r="Z200" s="107">
        <v>0</v>
      </c>
      <c r="AA200" s="107">
        <v>0</v>
      </c>
      <c r="AB200" s="107">
        <v>0</v>
      </c>
      <c r="AC200" s="107">
        <v>0</v>
      </c>
      <c r="AD200" s="107">
        <v>0</v>
      </c>
      <c r="AE200" s="107">
        <v>0</v>
      </c>
      <c r="AF200" s="107">
        <v>0</v>
      </c>
      <c r="AG200" s="112"/>
      <c r="AH200" s="112"/>
    </row>
    <row r="201" spans="1:34" ht="13.5" thickBot="1">
      <c r="A201" s="107">
        <v>516</v>
      </c>
      <c r="B201" s="107" t="s">
        <v>211</v>
      </c>
      <c r="C201" s="107" t="s">
        <v>210</v>
      </c>
      <c r="D201" s="109">
        <v>0</v>
      </c>
      <c r="E201" s="107">
        <v>100</v>
      </c>
      <c r="F201" s="107">
        <v>0</v>
      </c>
      <c r="G201" s="107">
        <v>92.4</v>
      </c>
      <c r="H201" s="107">
        <v>14</v>
      </c>
      <c r="I201" s="107">
        <v>36</v>
      </c>
      <c r="J201" s="110">
        <v>77</v>
      </c>
      <c r="K201" s="111">
        <f t="shared" si="10"/>
        <v>1.2653829999999999</v>
      </c>
      <c r="L201" s="111">
        <f t="shared" si="12"/>
        <v>0.84132887457262528</v>
      </c>
      <c r="M201" s="111">
        <f t="shared" si="11"/>
        <v>0.55354530499547361</v>
      </c>
      <c r="N201" s="107">
        <v>52.9</v>
      </c>
      <c r="O201" s="107">
        <v>80</v>
      </c>
      <c r="P201" s="107">
        <v>2.2999999999999998</v>
      </c>
      <c r="Q201" s="107">
        <v>0.32</v>
      </c>
      <c r="R201" s="107">
        <v>0.66</v>
      </c>
      <c r="S201" s="107">
        <v>0.17</v>
      </c>
      <c r="T201" s="107">
        <v>1.28</v>
      </c>
      <c r="U201" s="107">
        <v>0.03</v>
      </c>
      <c r="V201" s="107">
        <v>0.33</v>
      </c>
      <c r="W201" s="107">
        <v>0</v>
      </c>
      <c r="X201" s="107">
        <v>16</v>
      </c>
      <c r="Y201" s="107">
        <v>7.0000000000000007E-2</v>
      </c>
      <c r="Z201" s="107">
        <v>155</v>
      </c>
      <c r="AA201" s="107">
        <v>29</v>
      </c>
      <c r="AB201" s="107">
        <v>0</v>
      </c>
      <c r="AC201" s="107">
        <v>36</v>
      </c>
      <c r="AD201" s="107">
        <v>0</v>
      </c>
      <c r="AE201" s="107">
        <v>0</v>
      </c>
      <c r="AF201" s="107">
        <v>0</v>
      </c>
      <c r="AG201" s="112"/>
      <c r="AH201" s="112"/>
    </row>
    <row r="202" spans="1:34" ht="13.5" thickBot="1">
      <c r="A202" s="107">
        <v>517</v>
      </c>
      <c r="B202" s="107" t="s">
        <v>213</v>
      </c>
      <c r="C202" s="107" t="s">
        <v>212</v>
      </c>
      <c r="D202" s="109">
        <v>0</v>
      </c>
      <c r="E202" s="107">
        <v>100</v>
      </c>
      <c r="F202" s="107">
        <v>0</v>
      </c>
      <c r="G202" s="107">
        <v>89</v>
      </c>
      <c r="H202" s="107">
        <v>14.9</v>
      </c>
      <c r="I202" s="107">
        <v>23</v>
      </c>
      <c r="J202" s="110">
        <v>84</v>
      </c>
      <c r="K202" s="111">
        <f t="shared" si="10"/>
        <v>1.3804178181818179</v>
      </c>
      <c r="L202" s="111">
        <f t="shared" si="12"/>
        <v>0.9372354710413312</v>
      </c>
      <c r="M202" s="111">
        <f t="shared" si="11"/>
        <v>0.63607086875109964</v>
      </c>
      <c r="N202" s="107">
        <v>49.9</v>
      </c>
      <c r="O202" s="107">
        <v>65</v>
      </c>
      <c r="P202" s="107">
        <v>1.6</v>
      </c>
      <c r="Q202" s="107">
        <v>0.4</v>
      </c>
      <c r="R202" s="107">
        <v>0.71</v>
      </c>
      <c r="S202" s="107">
        <v>0.31</v>
      </c>
      <c r="T202" s="107">
        <v>2.2200000000000002</v>
      </c>
      <c r="U202" s="107">
        <v>0.04</v>
      </c>
      <c r="V202" s="107">
        <v>0.46</v>
      </c>
      <c r="W202" s="107">
        <v>0.12</v>
      </c>
      <c r="X202" s="107">
        <v>22.4</v>
      </c>
      <c r="Y202" s="107">
        <v>0</v>
      </c>
      <c r="Z202" s="107">
        <v>185</v>
      </c>
      <c r="AA202" s="107">
        <v>35</v>
      </c>
      <c r="AB202" s="107">
        <v>0.51</v>
      </c>
      <c r="AC202" s="107">
        <v>57</v>
      </c>
      <c r="AD202" s="107">
        <v>0</v>
      </c>
      <c r="AE202" s="107">
        <v>0</v>
      </c>
      <c r="AF202" s="107">
        <v>0</v>
      </c>
      <c r="AG202" s="112"/>
      <c r="AH202" s="112"/>
    </row>
    <row r="203" spans="1:34" ht="13.5" thickBot="1">
      <c r="A203" s="107">
        <v>518</v>
      </c>
      <c r="B203" s="107" t="s">
        <v>215</v>
      </c>
      <c r="C203" s="107" t="s">
        <v>214</v>
      </c>
      <c r="D203" s="109">
        <v>0</v>
      </c>
      <c r="E203" s="107">
        <v>100</v>
      </c>
      <c r="F203" s="107">
        <v>0</v>
      </c>
      <c r="G203" s="107">
        <v>90</v>
      </c>
      <c r="H203" s="107">
        <v>7.79</v>
      </c>
      <c r="I203" s="107">
        <v>23</v>
      </c>
      <c r="J203" s="110">
        <v>87</v>
      </c>
      <c r="K203" s="111">
        <f t="shared" si="10"/>
        <v>1.4297184545454542</v>
      </c>
      <c r="L203" s="111">
        <f t="shared" si="12"/>
        <v>0.977556615236855</v>
      </c>
      <c r="M203" s="111">
        <f t="shared" si="11"/>
        <v>0.67028730081875243</v>
      </c>
      <c r="N203" s="107">
        <v>54</v>
      </c>
      <c r="O203" s="107">
        <v>65</v>
      </c>
      <c r="P203" s="107">
        <v>1.1000000000000001</v>
      </c>
      <c r="Q203" s="107">
        <v>0.28999999999999998</v>
      </c>
      <c r="R203" s="107">
        <v>0.71</v>
      </c>
      <c r="S203" s="107">
        <v>0.33</v>
      </c>
      <c r="T203" s="107">
        <v>2.36</v>
      </c>
      <c r="U203" s="107">
        <v>0.01</v>
      </c>
      <c r="V203" s="107">
        <v>0.48</v>
      </c>
      <c r="W203" s="107">
        <v>0.12</v>
      </c>
      <c r="X203" s="107">
        <v>22.5</v>
      </c>
      <c r="Y203" s="107">
        <v>0.12</v>
      </c>
      <c r="Z203" s="107">
        <v>145</v>
      </c>
      <c r="AA203" s="107">
        <v>41</v>
      </c>
      <c r="AB203" s="107">
        <v>0.22</v>
      </c>
      <c r="AC203" s="107">
        <v>63</v>
      </c>
      <c r="AD203" s="107">
        <v>0</v>
      </c>
      <c r="AE203" s="107">
        <v>0</v>
      </c>
      <c r="AF203" s="107">
        <v>0</v>
      </c>
      <c r="AG203" s="112"/>
      <c r="AH203" s="112"/>
    </row>
    <row r="204" spans="1:34" ht="13.5" thickBot="1">
      <c r="A204" s="107">
        <v>519</v>
      </c>
      <c r="B204" s="107" t="s">
        <v>217</v>
      </c>
      <c r="C204" s="107" t="s">
        <v>216</v>
      </c>
      <c r="D204" s="109">
        <v>0</v>
      </c>
      <c r="E204" s="107">
        <v>100</v>
      </c>
      <c r="F204" s="107">
        <v>0</v>
      </c>
      <c r="G204" s="107">
        <v>90</v>
      </c>
      <c r="H204" s="107">
        <v>14.9</v>
      </c>
      <c r="I204" s="107">
        <v>100</v>
      </c>
      <c r="J204" s="110">
        <v>94</v>
      </c>
      <c r="K204" s="111">
        <f t="shared" si="10"/>
        <v>1.5447532727272726</v>
      </c>
      <c r="L204" s="111">
        <f t="shared" si="12"/>
        <v>1.0700837539728534</v>
      </c>
      <c r="M204" s="111">
        <f t="shared" si="11"/>
        <v>0.74775027020095863</v>
      </c>
      <c r="N204" s="107">
        <v>40.340000000000003</v>
      </c>
      <c r="O204" s="107">
        <v>75</v>
      </c>
      <c r="P204" s="107">
        <v>18.2</v>
      </c>
      <c r="Q204" s="107">
        <v>0.27</v>
      </c>
      <c r="R204" s="107">
        <v>0.65</v>
      </c>
      <c r="S204" s="107">
        <v>0.27</v>
      </c>
      <c r="T204" s="107">
        <v>2.0099999999999998</v>
      </c>
      <c r="U204" s="107">
        <v>0.04</v>
      </c>
      <c r="V204" s="107">
        <v>0.35</v>
      </c>
      <c r="W204" s="107">
        <v>0</v>
      </c>
      <c r="X204" s="107">
        <v>14.58</v>
      </c>
      <c r="Y204" s="107">
        <v>0</v>
      </c>
      <c r="Z204" s="107">
        <v>182</v>
      </c>
      <c r="AA204" s="107">
        <v>34.5</v>
      </c>
      <c r="AB204" s="107">
        <v>0.12</v>
      </c>
      <c r="AC204" s="107">
        <v>59</v>
      </c>
      <c r="AD204" s="107">
        <v>1.6</v>
      </c>
      <c r="AE204" s="107">
        <v>0</v>
      </c>
      <c r="AF204" s="107">
        <v>36.6</v>
      </c>
      <c r="AG204" s="112"/>
      <c r="AH204" s="112"/>
    </row>
    <row r="205" spans="1:34" ht="13.5" thickBot="1">
      <c r="A205" s="107">
        <v>520</v>
      </c>
      <c r="B205" s="107" t="s">
        <v>218</v>
      </c>
      <c r="C205" s="107"/>
      <c r="D205" s="109">
        <v>0</v>
      </c>
      <c r="E205" s="107">
        <v>100</v>
      </c>
      <c r="F205" s="107">
        <v>0</v>
      </c>
      <c r="G205" s="107">
        <v>90</v>
      </c>
      <c r="H205" s="107">
        <v>13.4</v>
      </c>
      <c r="I205" s="107">
        <v>100</v>
      </c>
      <c r="J205" s="110">
        <v>94</v>
      </c>
      <c r="K205" s="111">
        <f t="shared" si="10"/>
        <v>1.5447532727272726</v>
      </c>
      <c r="L205" s="111">
        <f t="shared" si="12"/>
        <v>1.0700837539728534</v>
      </c>
      <c r="M205" s="111">
        <f t="shared" si="11"/>
        <v>0.74775027020095863</v>
      </c>
      <c r="N205" s="107">
        <v>42.8</v>
      </c>
      <c r="O205" s="107">
        <v>38.311412176632956</v>
      </c>
      <c r="P205" s="107">
        <v>18.8</v>
      </c>
      <c r="Q205" s="107">
        <v>0.27</v>
      </c>
      <c r="R205" s="107">
        <v>0.65</v>
      </c>
      <c r="S205" s="107">
        <v>0.28999999999999998</v>
      </c>
      <c r="T205" s="107">
        <v>1.8</v>
      </c>
      <c r="U205" s="107">
        <v>0</v>
      </c>
      <c r="V205" s="107">
        <v>0.24</v>
      </c>
      <c r="W205" s="107">
        <v>0</v>
      </c>
      <c r="X205" s="107">
        <v>19.8</v>
      </c>
      <c r="Y205" s="107">
        <v>0</v>
      </c>
      <c r="Z205" s="107">
        <v>100</v>
      </c>
      <c r="AA205" s="107">
        <v>39.6</v>
      </c>
      <c r="AB205" s="107">
        <v>0.12</v>
      </c>
      <c r="AC205" s="107">
        <v>61.8</v>
      </c>
      <c r="AD205" s="107">
        <v>1.6</v>
      </c>
      <c r="AE205" s="107">
        <v>0</v>
      </c>
      <c r="AF205" s="107">
        <v>36.6</v>
      </c>
      <c r="AG205" s="112"/>
      <c r="AH205" s="112"/>
    </row>
    <row r="206" spans="1:34" ht="13.5" thickBot="1">
      <c r="A206" s="107">
        <v>521</v>
      </c>
      <c r="B206" s="107" t="s">
        <v>220</v>
      </c>
      <c r="C206" s="107" t="s">
        <v>219</v>
      </c>
      <c r="D206" s="109">
        <v>0</v>
      </c>
      <c r="E206" s="107">
        <v>100</v>
      </c>
      <c r="F206" s="107">
        <v>0</v>
      </c>
      <c r="G206" s="107">
        <v>90</v>
      </c>
      <c r="H206" s="107">
        <v>40</v>
      </c>
      <c r="I206" s="107">
        <v>23</v>
      </c>
      <c r="J206" s="110">
        <v>65</v>
      </c>
      <c r="K206" s="111">
        <f t="shared" si="10"/>
        <v>1.0681804545454543</v>
      </c>
      <c r="L206" s="111">
        <f t="shared" si="12"/>
        <v>0.66984545519235161</v>
      </c>
      <c r="M206" s="111">
        <f t="shared" si="11"/>
        <v>0.40200575546759432</v>
      </c>
      <c r="N206" s="107">
        <v>25.9</v>
      </c>
      <c r="O206" s="107">
        <v>80</v>
      </c>
      <c r="P206" s="107">
        <v>2.9</v>
      </c>
      <c r="Q206" s="107">
        <v>0.45</v>
      </c>
      <c r="R206" s="107">
        <v>1.02</v>
      </c>
      <c r="S206" s="107">
        <v>0.7</v>
      </c>
      <c r="T206" s="107">
        <v>1.27</v>
      </c>
      <c r="U206" s="107">
        <v>0.03</v>
      </c>
      <c r="V206" s="107">
        <v>0.33</v>
      </c>
      <c r="W206" s="107">
        <v>0</v>
      </c>
      <c r="X206" s="107">
        <v>4</v>
      </c>
      <c r="Y206" s="107">
        <v>0</v>
      </c>
      <c r="Z206" s="107">
        <v>33</v>
      </c>
      <c r="AA206" s="107">
        <v>20</v>
      </c>
      <c r="AB206" s="107">
        <v>2.2999999999999998</v>
      </c>
      <c r="AC206" s="107">
        <v>105</v>
      </c>
      <c r="AD206" s="107">
        <v>0</v>
      </c>
      <c r="AE206" s="107">
        <v>0</v>
      </c>
      <c r="AF206" s="107">
        <v>0</v>
      </c>
      <c r="AG206" s="112"/>
      <c r="AH206" s="112"/>
    </row>
    <row r="207" spans="1:34" ht="13.5" thickBot="1">
      <c r="A207" s="107">
        <v>522</v>
      </c>
      <c r="B207" s="107" t="s">
        <v>221</v>
      </c>
      <c r="C207" s="107"/>
      <c r="D207" s="109">
        <v>0</v>
      </c>
      <c r="E207" s="107">
        <v>100</v>
      </c>
      <c r="F207" s="107">
        <v>0</v>
      </c>
      <c r="G207" s="107">
        <v>99</v>
      </c>
      <c r="H207" s="107">
        <v>0</v>
      </c>
      <c r="I207" s="107">
        <v>0</v>
      </c>
      <c r="J207" s="110">
        <v>0</v>
      </c>
      <c r="K207" s="111">
        <f t="shared" si="10"/>
        <v>0</v>
      </c>
      <c r="L207" s="111">
        <f t="shared" si="12"/>
        <v>0</v>
      </c>
      <c r="M207" s="111">
        <f t="shared" si="11"/>
        <v>0</v>
      </c>
      <c r="N207" s="107">
        <v>291</v>
      </c>
      <c r="O207" s="107">
        <v>99.999999939999995</v>
      </c>
      <c r="P207" s="107">
        <v>0</v>
      </c>
      <c r="Q207" s="107">
        <v>0</v>
      </c>
      <c r="R207" s="107">
        <v>0</v>
      </c>
      <c r="S207" s="107">
        <v>0</v>
      </c>
      <c r="T207" s="107">
        <v>0</v>
      </c>
      <c r="U207" s="107">
        <v>0</v>
      </c>
      <c r="V207" s="107">
        <v>0</v>
      </c>
      <c r="W207" s="107">
        <v>0</v>
      </c>
      <c r="X207" s="107">
        <v>0</v>
      </c>
      <c r="Y207" s="107">
        <v>0</v>
      </c>
      <c r="Z207" s="107">
        <v>0</v>
      </c>
      <c r="AA207" s="107">
        <v>0</v>
      </c>
      <c r="AB207" s="107">
        <v>0</v>
      </c>
      <c r="AC207" s="107">
        <v>0</v>
      </c>
      <c r="AD207" s="107">
        <v>0</v>
      </c>
      <c r="AE207" s="107">
        <v>0</v>
      </c>
      <c r="AF207" s="107">
        <v>0</v>
      </c>
      <c r="AG207" s="112"/>
      <c r="AH207" s="112"/>
    </row>
    <row r="208" spans="1:34" ht="13.5" thickBot="1">
      <c r="A208" s="107">
        <v>523</v>
      </c>
      <c r="B208" s="116" t="s">
        <v>503</v>
      </c>
      <c r="C208" s="116"/>
      <c r="D208" s="109">
        <v>0</v>
      </c>
      <c r="E208" s="116">
        <v>100</v>
      </c>
      <c r="F208" s="116">
        <v>0</v>
      </c>
      <c r="G208" s="116">
        <v>88</v>
      </c>
      <c r="H208" s="116">
        <v>50</v>
      </c>
      <c r="I208" s="116">
        <v>30</v>
      </c>
      <c r="J208" s="119">
        <v>88</v>
      </c>
      <c r="K208" s="111">
        <f t="shared" si="10"/>
        <v>1.4461519999999999</v>
      </c>
      <c r="L208" s="111">
        <f t="shared" si="12"/>
        <v>0.99090269612556781</v>
      </c>
      <c r="M208" s="111">
        <f t="shared" si="11"/>
        <v>0.68155075321065228</v>
      </c>
      <c r="N208" s="116">
        <v>10.5</v>
      </c>
      <c r="O208" s="116">
        <v>45</v>
      </c>
      <c r="P208" s="116">
        <v>3</v>
      </c>
      <c r="Q208" s="116">
        <v>0.04</v>
      </c>
      <c r="R208" s="116">
        <v>0.41</v>
      </c>
      <c r="S208" s="116">
        <v>0.2</v>
      </c>
      <c r="T208" s="116">
        <v>0.3</v>
      </c>
      <c r="U208" s="116">
        <v>0.01</v>
      </c>
      <c r="V208" s="116">
        <v>0.11</v>
      </c>
      <c r="W208" s="116">
        <v>0.31</v>
      </c>
      <c r="X208" s="116">
        <v>2.5099999999999998</v>
      </c>
      <c r="Y208" s="116">
        <v>0.03</v>
      </c>
      <c r="Z208" s="116">
        <v>54.5</v>
      </c>
      <c r="AA208" s="116">
        <v>7.9</v>
      </c>
      <c r="AB208" s="116">
        <v>0.14000000000000001</v>
      </c>
      <c r="AC208" s="116">
        <v>24.2</v>
      </c>
      <c r="AD208" s="116">
        <v>0</v>
      </c>
      <c r="AE208" s="116">
        <v>0</v>
      </c>
      <c r="AF208" s="116">
        <v>0</v>
      </c>
      <c r="AG208" s="120"/>
      <c r="AH208" s="120"/>
    </row>
    <row r="209" spans="1:34" ht="13.5" thickBot="1">
      <c r="A209" s="107">
        <v>524</v>
      </c>
      <c r="B209" s="116" t="s">
        <v>48</v>
      </c>
      <c r="C209" s="116"/>
      <c r="D209" s="109">
        <v>0</v>
      </c>
      <c r="E209" s="116">
        <v>100</v>
      </c>
      <c r="F209" s="116">
        <v>0</v>
      </c>
      <c r="G209" s="116">
        <v>0</v>
      </c>
      <c r="H209" s="116">
        <v>0</v>
      </c>
      <c r="I209" s="116">
        <v>0</v>
      </c>
      <c r="J209" s="119">
        <v>0</v>
      </c>
      <c r="K209" s="111">
        <f t="shared" si="10"/>
        <v>0</v>
      </c>
      <c r="L209" s="111">
        <f t="shared" si="12"/>
        <v>0</v>
      </c>
      <c r="M209" s="111">
        <f t="shared" si="11"/>
        <v>0</v>
      </c>
      <c r="N209" s="116">
        <v>0</v>
      </c>
      <c r="O209" s="116">
        <v>0</v>
      </c>
      <c r="P209" s="116">
        <v>0</v>
      </c>
      <c r="Q209" s="116">
        <v>0</v>
      </c>
      <c r="R209" s="116">
        <v>0</v>
      </c>
      <c r="S209" s="116">
        <v>0</v>
      </c>
      <c r="T209" s="116">
        <v>0</v>
      </c>
      <c r="U209" s="116">
        <v>0</v>
      </c>
      <c r="V209" s="116">
        <v>0</v>
      </c>
      <c r="W209" s="116">
        <v>0</v>
      </c>
      <c r="X209" s="116">
        <v>0</v>
      </c>
      <c r="Y209" s="116">
        <v>0</v>
      </c>
      <c r="Z209" s="116">
        <v>0</v>
      </c>
      <c r="AA209" s="116">
        <v>0</v>
      </c>
      <c r="AB209" s="116">
        <v>0</v>
      </c>
      <c r="AC209" s="116">
        <v>0</v>
      </c>
      <c r="AD209" s="116">
        <v>0</v>
      </c>
      <c r="AE209" s="116">
        <v>0</v>
      </c>
      <c r="AF209" s="116">
        <v>0</v>
      </c>
      <c r="AG209" s="120"/>
      <c r="AH209" s="120"/>
    </row>
    <row r="210" spans="1:34" ht="13.5" thickBot="1">
      <c r="A210" s="107">
        <v>525</v>
      </c>
      <c r="B210" s="116" t="s">
        <v>546</v>
      </c>
      <c r="C210" s="116"/>
      <c r="D210" s="109">
        <v>0</v>
      </c>
      <c r="E210" s="116">
        <v>100</v>
      </c>
      <c r="F210" s="116">
        <v>0</v>
      </c>
      <c r="G210" s="116">
        <v>91</v>
      </c>
      <c r="H210" s="116">
        <v>60</v>
      </c>
      <c r="I210" s="116">
        <v>100</v>
      </c>
      <c r="J210" s="119">
        <v>43</v>
      </c>
      <c r="K210" s="111">
        <f t="shared" si="10"/>
        <v>0.70664245454545438</v>
      </c>
      <c r="L210" s="111">
        <f t="shared" si="12"/>
        <v>0.32534076018351321</v>
      </c>
      <c r="M210" s="111">
        <f t="shared" si="11"/>
        <v>8.311909250395659E-2</v>
      </c>
      <c r="N210" s="116">
        <v>11</v>
      </c>
      <c r="O210" s="116">
        <v>50</v>
      </c>
      <c r="P210" s="116">
        <v>5</v>
      </c>
      <c r="Q210" s="116">
        <v>1.5</v>
      </c>
      <c r="R210" s="116">
        <v>0.2</v>
      </c>
      <c r="S210" s="116">
        <v>0.3</v>
      </c>
      <c r="T210" s="116">
        <v>1.9</v>
      </c>
      <c r="U210" s="116">
        <v>0.06</v>
      </c>
      <c r="V210" s="116">
        <v>0.36</v>
      </c>
      <c r="W210" s="116">
        <v>0</v>
      </c>
      <c r="X210" s="116">
        <v>9</v>
      </c>
      <c r="Y210" s="116">
        <v>0</v>
      </c>
      <c r="Z210" s="116">
        <v>1032</v>
      </c>
      <c r="AA210" s="116">
        <v>50</v>
      </c>
      <c r="AB210" s="116">
        <v>0</v>
      </c>
      <c r="AC210" s="116">
        <v>28</v>
      </c>
      <c r="AD210" s="116">
        <v>0</v>
      </c>
      <c r="AE210" s="116">
        <v>0</v>
      </c>
      <c r="AF210" s="116">
        <v>0</v>
      </c>
      <c r="AG210" s="120"/>
      <c r="AH210" s="120"/>
    </row>
    <row r="211" spans="1:34" ht="13.5" thickBot="1">
      <c r="A211" s="107">
        <v>526</v>
      </c>
      <c r="B211" s="116" t="s">
        <v>547</v>
      </c>
      <c r="C211" s="116"/>
      <c r="D211" s="109">
        <v>0</v>
      </c>
      <c r="E211" s="116">
        <v>100</v>
      </c>
      <c r="F211" s="116">
        <v>0</v>
      </c>
      <c r="G211" s="116">
        <v>91</v>
      </c>
      <c r="H211" s="116">
        <v>10.6</v>
      </c>
      <c r="I211" s="116">
        <v>0</v>
      </c>
      <c r="J211" s="119">
        <v>85</v>
      </c>
      <c r="K211" s="111">
        <f t="shared" si="10"/>
        <v>1.3968513636363633</v>
      </c>
      <c r="L211" s="111">
        <f t="shared" si="12"/>
        <v>0.95072435594999138</v>
      </c>
      <c r="M211" s="111">
        <f t="shared" si="11"/>
        <v>0.64754893094270127</v>
      </c>
      <c r="N211" s="116">
        <v>10.8</v>
      </c>
      <c r="O211" s="116">
        <v>46</v>
      </c>
      <c r="P211" s="116">
        <v>5.5</v>
      </c>
      <c r="Q211" s="116">
        <v>0.22</v>
      </c>
      <c r="R211" s="116">
        <v>0.34</v>
      </c>
      <c r="S211" s="116">
        <v>0.12</v>
      </c>
      <c r="T211" s="116">
        <v>0.42</v>
      </c>
      <c r="U211" s="116">
        <v>0.54</v>
      </c>
      <c r="V211" s="116">
        <v>0.12</v>
      </c>
      <c r="W211" s="116">
        <v>0</v>
      </c>
      <c r="X211" s="116">
        <v>7</v>
      </c>
      <c r="Y211" s="116">
        <v>0</v>
      </c>
      <c r="Z211" s="116">
        <v>280</v>
      </c>
      <c r="AA211" s="116">
        <v>35</v>
      </c>
      <c r="AB211" s="116">
        <v>0</v>
      </c>
      <c r="AC211" s="116">
        <v>85</v>
      </c>
      <c r="AD211" s="116">
        <v>0</v>
      </c>
      <c r="AE211" s="116">
        <v>0</v>
      </c>
      <c r="AF211" s="116">
        <v>0</v>
      </c>
      <c r="AG211" s="120"/>
      <c r="AH211" s="120"/>
    </row>
    <row r="212" spans="1:34" ht="13.5" thickBot="1">
      <c r="A212" s="107">
        <v>527</v>
      </c>
      <c r="B212" s="116" t="s">
        <v>548</v>
      </c>
      <c r="C212" s="116"/>
      <c r="D212" s="109">
        <v>0</v>
      </c>
      <c r="E212" s="116">
        <v>100</v>
      </c>
      <c r="F212" s="116">
        <v>0</v>
      </c>
      <c r="G212" s="116">
        <v>94</v>
      </c>
      <c r="H212" s="116"/>
      <c r="I212" s="116">
        <v>0</v>
      </c>
      <c r="J212" s="119">
        <v>65</v>
      </c>
      <c r="K212" s="111">
        <f t="shared" si="10"/>
        <v>1.0681804545454543</v>
      </c>
      <c r="L212" s="111">
        <f t="shared" si="12"/>
        <v>0.66984545519235161</v>
      </c>
      <c r="M212" s="111">
        <f t="shared" si="11"/>
        <v>0.40200575546759432</v>
      </c>
      <c r="N212" s="116">
        <v>17</v>
      </c>
      <c r="O212" s="116">
        <v>30</v>
      </c>
      <c r="P212" s="116">
        <v>25</v>
      </c>
      <c r="Q212" s="116">
        <v>0.19</v>
      </c>
      <c r="R212" s="116">
        <v>0.2</v>
      </c>
      <c r="S212" s="116">
        <v>0</v>
      </c>
      <c r="T212" s="116">
        <v>0</v>
      </c>
      <c r="U212" s="116">
        <v>0</v>
      </c>
      <c r="V212" s="116">
        <v>0</v>
      </c>
      <c r="W212" s="116">
        <v>0</v>
      </c>
      <c r="X212" s="116">
        <v>0</v>
      </c>
      <c r="Y212" s="116">
        <v>0</v>
      </c>
      <c r="Z212" s="116">
        <v>0</v>
      </c>
      <c r="AA212" s="116">
        <v>0</v>
      </c>
      <c r="AB212" s="116">
        <v>0</v>
      </c>
      <c r="AC212" s="116">
        <v>0</v>
      </c>
      <c r="AD212" s="116">
        <v>0</v>
      </c>
      <c r="AE212" s="116">
        <v>0</v>
      </c>
      <c r="AF212" s="116">
        <v>0</v>
      </c>
      <c r="AG212" s="120"/>
      <c r="AH212" s="120"/>
    </row>
    <row r="213" spans="1:34" ht="13.5" thickBot="1">
      <c r="A213" s="107">
        <v>528</v>
      </c>
      <c r="B213" s="116" t="s">
        <v>48</v>
      </c>
      <c r="C213" s="116"/>
      <c r="D213" s="109">
        <v>0</v>
      </c>
      <c r="E213" s="116">
        <v>100</v>
      </c>
      <c r="F213" s="116">
        <v>0</v>
      </c>
      <c r="G213" s="116">
        <v>100</v>
      </c>
      <c r="H213" s="116">
        <v>0</v>
      </c>
      <c r="I213" s="116">
        <v>0</v>
      </c>
      <c r="J213" s="119">
        <v>0</v>
      </c>
      <c r="K213" s="111">
        <f t="shared" si="10"/>
        <v>0</v>
      </c>
      <c r="L213" s="111">
        <f t="shared" si="12"/>
        <v>0</v>
      </c>
      <c r="M213" s="111">
        <f t="shared" si="11"/>
        <v>0</v>
      </c>
      <c r="N213" s="116">
        <v>0</v>
      </c>
      <c r="O213" s="116">
        <v>0</v>
      </c>
      <c r="P213" s="116">
        <v>0</v>
      </c>
      <c r="Q213" s="116">
        <v>0</v>
      </c>
      <c r="R213" s="116">
        <v>0</v>
      </c>
      <c r="S213" s="116">
        <v>0</v>
      </c>
      <c r="T213" s="116">
        <v>0</v>
      </c>
      <c r="U213" s="116">
        <v>0</v>
      </c>
      <c r="V213" s="116">
        <v>0</v>
      </c>
      <c r="W213" s="116">
        <v>0</v>
      </c>
      <c r="X213" s="116">
        <v>0</v>
      </c>
      <c r="Y213" s="116">
        <v>0</v>
      </c>
      <c r="Z213" s="116">
        <v>0</v>
      </c>
      <c r="AA213" s="116">
        <v>0</v>
      </c>
      <c r="AB213" s="116">
        <v>0</v>
      </c>
      <c r="AC213" s="116">
        <v>0</v>
      </c>
      <c r="AD213" s="116">
        <v>0</v>
      </c>
      <c r="AE213" s="116">
        <v>0</v>
      </c>
      <c r="AF213" s="116">
        <v>0</v>
      </c>
      <c r="AG213" s="120"/>
      <c r="AH213" s="120"/>
    </row>
    <row r="214" spans="1:34" ht="13.5" thickBot="1">
      <c r="A214" s="107">
        <v>601</v>
      </c>
      <c r="B214" s="107" t="s">
        <v>223</v>
      </c>
      <c r="C214" s="107" t="s">
        <v>222</v>
      </c>
      <c r="D214" s="109">
        <v>0</v>
      </c>
      <c r="E214" s="107">
        <v>0</v>
      </c>
      <c r="F214" s="107">
        <v>100</v>
      </c>
      <c r="G214" s="107">
        <v>22</v>
      </c>
      <c r="H214" s="107">
        <v>41</v>
      </c>
      <c r="I214" s="107">
        <v>34</v>
      </c>
      <c r="J214" s="110">
        <v>68.902439024390247</v>
      </c>
      <c r="K214" s="111">
        <f t="shared" si="10"/>
        <v>1.1323113636363635</v>
      </c>
      <c r="L214" s="111">
        <f t="shared" si="12"/>
        <v>0.72670020132261559</v>
      </c>
      <c r="M214" s="111">
        <f t="shared" si="11"/>
        <v>0.45280721737943436</v>
      </c>
      <c r="N214" s="107">
        <v>5.4</v>
      </c>
      <c r="O214" s="107">
        <v>48.20588234634117</v>
      </c>
      <c r="P214" s="107">
        <v>4.7</v>
      </c>
      <c r="Q214" s="107">
        <v>0.23</v>
      </c>
      <c r="R214" s="107">
        <v>0.11</v>
      </c>
      <c r="S214" s="107">
        <v>0</v>
      </c>
      <c r="T214" s="107">
        <v>0.53</v>
      </c>
      <c r="U214" s="107">
        <v>0</v>
      </c>
      <c r="V214" s="107">
        <v>0.11</v>
      </c>
      <c r="W214" s="107">
        <v>0</v>
      </c>
      <c r="X214" s="107">
        <v>0</v>
      </c>
      <c r="Y214" s="107">
        <v>0</v>
      </c>
      <c r="Z214" s="107">
        <v>0</v>
      </c>
      <c r="AA214" s="107">
        <v>0</v>
      </c>
      <c r="AB214" s="107">
        <v>0</v>
      </c>
      <c r="AC214" s="107">
        <v>0</v>
      </c>
      <c r="AD214" s="107">
        <v>0</v>
      </c>
      <c r="AE214" s="107">
        <v>0</v>
      </c>
      <c r="AF214" s="107">
        <v>0</v>
      </c>
      <c r="AG214" s="112"/>
      <c r="AH214" s="112"/>
    </row>
    <row r="215" spans="1:34" ht="13.5" thickBot="1">
      <c r="A215" s="107">
        <v>602</v>
      </c>
      <c r="B215" s="107" t="s">
        <v>225</v>
      </c>
      <c r="C215" s="107" t="s">
        <v>224</v>
      </c>
      <c r="D215" s="109">
        <v>0</v>
      </c>
      <c r="E215" s="107">
        <v>100</v>
      </c>
      <c r="F215" s="107">
        <v>0</v>
      </c>
      <c r="G215" s="107">
        <v>92</v>
      </c>
      <c r="H215" s="107">
        <v>18</v>
      </c>
      <c r="I215" s="107">
        <v>0</v>
      </c>
      <c r="J215" s="110">
        <v>89</v>
      </c>
      <c r="K215" s="111">
        <f t="shared" si="10"/>
        <v>1.4625855454545453</v>
      </c>
      <c r="L215" s="111">
        <f t="shared" si="12"/>
        <v>1.0042038821848085</v>
      </c>
      <c r="M215" s="111">
        <f t="shared" si="11"/>
        <v>0.69274581371010135</v>
      </c>
      <c r="N215" s="107">
        <v>9</v>
      </c>
      <c r="O215" s="107">
        <v>75.599316576859607</v>
      </c>
      <c r="P215" s="107">
        <v>12.7</v>
      </c>
      <c r="Q215" s="107">
        <v>0.15</v>
      </c>
      <c r="R215" s="107">
        <v>0.24</v>
      </c>
      <c r="S215" s="107">
        <v>0.18</v>
      </c>
      <c r="T215" s="107">
        <v>0.43</v>
      </c>
      <c r="U215" s="107">
        <v>1.1200000000000001</v>
      </c>
      <c r="V215" s="107">
        <v>0.02</v>
      </c>
      <c r="W215" s="107">
        <v>1.3420000000000001</v>
      </c>
      <c r="X215" s="107">
        <v>12.1</v>
      </c>
      <c r="Y215" s="107">
        <v>0</v>
      </c>
      <c r="Z215" s="107">
        <v>180</v>
      </c>
      <c r="AA215" s="107">
        <v>71.2</v>
      </c>
      <c r="AB215" s="107">
        <v>0</v>
      </c>
      <c r="AC215" s="107">
        <v>19.5</v>
      </c>
      <c r="AD215" s="107">
        <v>7.7</v>
      </c>
      <c r="AE215" s="107">
        <v>0</v>
      </c>
      <c r="AF215" s="107">
        <v>44.9</v>
      </c>
      <c r="AG215" s="112"/>
      <c r="AH215" s="112"/>
    </row>
    <row r="216" spans="1:34" ht="13.5" thickBot="1">
      <c r="A216" s="107">
        <v>603</v>
      </c>
      <c r="B216" s="107" t="s">
        <v>227</v>
      </c>
      <c r="C216" s="107" t="s">
        <v>226</v>
      </c>
      <c r="D216" s="109">
        <v>0</v>
      </c>
      <c r="E216" s="107">
        <v>100</v>
      </c>
      <c r="F216" s="107">
        <v>0</v>
      </c>
      <c r="G216" s="107">
        <v>91</v>
      </c>
      <c r="H216" s="107">
        <v>42</v>
      </c>
      <c r="I216" s="107">
        <v>33</v>
      </c>
      <c r="J216" s="110">
        <v>66</v>
      </c>
      <c r="K216" s="111">
        <f t="shared" si="10"/>
        <v>1.084614</v>
      </c>
      <c r="L216" s="111">
        <f t="shared" si="12"/>
        <v>0.68452159590899575</v>
      </c>
      <c r="M216" s="111">
        <f t="shared" si="11"/>
        <v>0.41517163498582677</v>
      </c>
      <c r="N216" s="107">
        <v>10</v>
      </c>
      <c r="O216" s="107">
        <v>42.460842967598431</v>
      </c>
      <c r="P216" s="107">
        <v>0.4</v>
      </c>
      <c r="Q216" s="107">
        <v>0.7</v>
      </c>
      <c r="R216" s="107">
        <v>0.1</v>
      </c>
      <c r="S216" s="107">
        <v>0.28000000000000003</v>
      </c>
      <c r="T216" s="107">
        <v>0.2</v>
      </c>
      <c r="U216" s="107">
        <v>0.21</v>
      </c>
      <c r="V216" s="107">
        <v>0.2</v>
      </c>
      <c r="W216" s="107">
        <v>8.1000000000000003E-2</v>
      </c>
      <c r="X216" s="107">
        <v>13.7</v>
      </c>
      <c r="Y216" s="107">
        <v>0</v>
      </c>
      <c r="Z216" s="107">
        <v>300</v>
      </c>
      <c r="AA216" s="107">
        <v>37.700000000000003</v>
      </c>
      <c r="AB216" s="107">
        <v>0</v>
      </c>
      <c r="AC216" s="107">
        <v>0.08</v>
      </c>
      <c r="AD216" s="107">
        <v>0.4</v>
      </c>
      <c r="AE216" s="107">
        <v>1</v>
      </c>
      <c r="AF216" s="107">
        <v>0</v>
      </c>
      <c r="AG216" s="112"/>
      <c r="AH216" s="112"/>
    </row>
    <row r="217" spans="1:34" ht="13.5" thickBot="1">
      <c r="A217" s="107">
        <v>604</v>
      </c>
      <c r="B217" s="107" t="s">
        <v>229</v>
      </c>
      <c r="C217" s="107" t="s">
        <v>228</v>
      </c>
      <c r="D217" s="109">
        <v>0</v>
      </c>
      <c r="E217" s="107">
        <v>100</v>
      </c>
      <c r="F217" s="107">
        <v>0</v>
      </c>
      <c r="G217" s="107">
        <v>91</v>
      </c>
      <c r="H217" s="107">
        <v>44.6</v>
      </c>
      <c r="I217" s="107">
        <v>33</v>
      </c>
      <c r="J217" s="110">
        <v>74</v>
      </c>
      <c r="K217" s="111">
        <f t="shared" si="10"/>
        <v>1.2160823636363636</v>
      </c>
      <c r="L217" s="111">
        <f t="shared" si="12"/>
        <v>0.79935640306053435</v>
      </c>
      <c r="M217" s="111">
        <f t="shared" si="11"/>
        <v>0.51692333656618161</v>
      </c>
      <c r="N217" s="107">
        <v>9.8000000000000007</v>
      </c>
      <c r="O217" s="107">
        <v>42.627117477114361</v>
      </c>
      <c r="P217" s="107">
        <v>0.6</v>
      </c>
      <c r="Q217" s="107">
        <v>0.68</v>
      </c>
      <c r="R217" s="107">
        <v>0.1</v>
      </c>
      <c r="S217" s="107">
        <v>0.28000000000000003</v>
      </c>
      <c r="T217" s="107">
        <v>0.22</v>
      </c>
      <c r="U217" s="107">
        <v>0.2</v>
      </c>
      <c r="V217" s="107">
        <v>0.22</v>
      </c>
      <c r="W217" s="107">
        <v>8.1000000000000003E-2</v>
      </c>
      <c r="X217" s="107">
        <v>13.8</v>
      </c>
      <c r="Y217" s="107">
        <v>0</v>
      </c>
      <c r="Z217" s="107">
        <v>293</v>
      </c>
      <c r="AA217" s="107">
        <v>37.700000000000003</v>
      </c>
      <c r="AB217" s="107">
        <v>0.12</v>
      </c>
      <c r="AC217" s="107">
        <v>1</v>
      </c>
      <c r="AD217" s="107">
        <v>0.4</v>
      </c>
      <c r="AE217" s="107">
        <v>0.6</v>
      </c>
      <c r="AF217" s="107">
        <v>0</v>
      </c>
      <c r="AG217" s="112"/>
      <c r="AH217" s="112"/>
    </row>
    <row r="218" spans="1:34" ht="13.5" thickBot="1">
      <c r="A218" s="107">
        <v>605</v>
      </c>
      <c r="B218" s="107" t="s">
        <v>231</v>
      </c>
      <c r="C218" s="107" t="s">
        <v>230</v>
      </c>
      <c r="D218" s="109">
        <v>0</v>
      </c>
      <c r="E218" s="107">
        <v>100</v>
      </c>
      <c r="F218" s="107">
        <v>0</v>
      </c>
      <c r="G218" s="107">
        <v>91</v>
      </c>
      <c r="H218" s="107">
        <v>23</v>
      </c>
      <c r="I218" s="107">
        <v>33</v>
      </c>
      <c r="J218" s="110">
        <v>82</v>
      </c>
      <c r="K218" s="111">
        <f t="shared" si="10"/>
        <v>1.3475507272727272</v>
      </c>
      <c r="L218" s="111">
        <f t="shared" si="12"/>
        <v>0.91010542441727682</v>
      </c>
      <c r="M218" s="111">
        <f t="shared" si="11"/>
        <v>0.61288912809212004</v>
      </c>
      <c r="N218" s="107">
        <v>6.7</v>
      </c>
      <c r="O218" s="107">
        <v>41.602974207845222</v>
      </c>
      <c r="P218" s="107">
        <v>3.7</v>
      </c>
      <c r="Q218" s="107">
        <v>1.88</v>
      </c>
      <c r="R218" s="107">
        <v>0.13</v>
      </c>
      <c r="S218" s="107">
        <v>0.17</v>
      </c>
      <c r="T218" s="107">
        <v>0.77</v>
      </c>
      <c r="U218" s="107">
        <v>0.08</v>
      </c>
      <c r="V218" s="107">
        <v>0.08</v>
      </c>
      <c r="W218" s="107">
        <v>0.185</v>
      </c>
      <c r="X218" s="107">
        <v>6.15</v>
      </c>
      <c r="Y218" s="107">
        <v>0</v>
      </c>
      <c r="Z218" s="107">
        <v>360</v>
      </c>
      <c r="AA218" s="107">
        <v>7</v>
      </c>
      <c r="AB218" s="107">
        <v>0</v>
      </c>
      <c r="AC218" s="107">
        <v>15</v>
      </c>
      <c r="AD218" s="107">
        <v>0</v>
      </c>
      <c r="AE218" s="107">
        <v>0</v>
      </c>
      <c r="AF218" s="107">
        <v>0</v>
      </c>
      <c r="AG218" s="112"/>
      <c r="AH218" s="112"/>
    </row>
    <row r="219" spans="1:34" ht="13.5" thickBot="1">
      <c r="A219" s="107">
        <v>606</v>
      </c>
      <c r="B219" s="107" t="s">
        <v>233</v>
      </c>
      <c r="C219" s="107" t="s">
        <v>232</v>
      </c>
      <c r="D219" s="109">
        <v>0</v>
      </c>
      <c r="E219" s="107">
        <v>100</v>
      </c>
      <c r="F219" s="107">
        <v>0</v>
      </c>
      <c r="G219" s="107">
        <v>90</v>
      </c>
      <c r="H219" s="107">
        <v>55</v>
      </c>
      <c r="I219" s="107">
        <v>34</v>
      </c>
      <c r="J219" s="110">
        <v>33</v>
      </c>
      <c r="K219" s="111">
        <f t="shared" si="10"/>
        <v>0.54230699999999998</v>
      </c>
      <c r="L219" s="111">
        <f t="shared" si="12"/>
        <v>0.15268718980868093</v>
      </c>
      <c r="M219" s="111">
        <f t="shared" si="11"/>
        <v>-8.3086733889230185E-2</v>
      </c>
      <c r="N219" s="107">
        <v>0</v>
      </c>
      <c r="O219" s="107">
        <v>100</v>
      </c>
      <c r="P219" s="107">
        <v>7.9</v>
      </c>
      <c r="Q219" s="107">
        <v>0.57999999999999996</v>
      </c>
      <c r="R219" s="107">
        <v>0.17</v>
      </c>
      <c r="S219" s="107">
        <v>0.1</v>
      </c>
      <c r="T219" s="107">
        <v>0.91</v>
      </c>
      <c r="U219" s="107">
        <v>0.09</v>
      </c>
      <c r="V219" s="107">
        <v>0</v>
      </c>
      <c r="W219" s="107">
        <v>0</v>
      </c>
      <c r="X219" s="107">
        <v>0</v>
      </c>
      <c r="Y219" s="107">
        <v>0</v>
      </c>
      <c r="Z219" s="107">
        <v>0</v>
      </c>
      <c r="AA219" s="107">
        <v>40.700000000000003</v>
      </c>
      <c r="AB219" s="107">
        <v>0</v>
      </c>
      <c r="AC219" s="107">
        <v>24.2</v>
      </c>
      <c r="AD219" s="107">
        <v>0</v>
      </c>
      <c r="AE219" s="107">
        <v>0</v>
      </c>
      <c r="AF219" s="107">
        <v>0</v>
      </c>
      <c r="AG219" s="112"/>
      <c r="AH219" s="112"/>
    </row>
    <row r="220" spans="1:34" ht="13.5" thickBot="1">
      <c r="A220" s="107">
        <v>607</v>
      </c>
      <c r="B220" s="107" t="s">
        <v>235</v>
      </c>
      <c r="C220" s="107" t="s">
        <v>234</v>
      </c>
      <c r="D220" s="109">
        <v>0</v>
      </c>
      <c r="E220" s="107">
        <v>100</v>
      </c>
      <c r="F220" s="107">
        <v>0</v>
      </c>
      <c r="G220" s="107">
        <v>91</v>
      </c>
      <c r="H220" s="107">
        <v>66.3</v>
      </c>
      <c r="I220" s="107">
        <v>2</v>
      </c>
      <c r="J220" s="110">
        <v>80</v>
      </c>
      <c r="K220" s="111">
        <f t="shared" si="10"/>
        <v>1.3146836363636361</v>
      </c>
      <c r="L220" s="111">
        <f t="shared" si="12"/>
        <v>0.8827633203492109</v>
      </c>
      <c r="M220" s="111">
        <f t="shared" si="11"/>
        <v>0.58939608337393778</v>
      </c>
      <c r="N220" s="107">
        <v>12.2</v>
      </c>
      <c r="O220" s="107">
        <v>58</v>
      </c>
      <c r="P220" s="107">
        <v>2.1</v>
      </c>
      <c r="Q220" s="107">
        <v>0.53</v>
      </c>
      <c r="R220" s="107">
        <v>0.18</v>
      </c>
      <c r="S220" s="107">
        <v>0.22</v>
      </c>
      <c r="T220" s="107">
        <v>1.29</v>
      </c>
      <c r="U220" s="107">
        <v>0.03</v>
      </c>
      <c r="V220" s="107">
        <v>0.11</v>
      </c>
      <c r="W220" s="107">
        <v>0.121</v>
      </c>
      <c r="X220" s="107">
        <v>17.8</v>
      </c>
      <c r="Y220" s="107">
        <v>0</v>
      </c>
      <c r="Z220" s="107">
        <v>409</v>
      </c>
      <c r="AA220" s="107">
        <v>10</v>
      </c>
      <c r="AB220" s="107">
        <v>0.14000000000000001</v>
      </c>
      <c r="AC220" s="107">
        <v>48</v>
      </c>
      <c r="AD220" s="107">
        <v>0</v>
      </c>
      <c r="AE220" s="107">
        <v>0</v>
      </c>
      <c r="AF220" s="107">
        <v>3.7</v>
      </c>
      <c r="AG220" s="112"/>
      <c r="AH220" s="112"/>
    </row>
    <row r="221" spans="1:34" ht="13.5" thickBot="1">
      <c r="A221" s="107">
        <v>608</v>
      </c>
      <c r="B221" s="116" t="s">
        <v>48</v>
      </c>
      <c r="C221" s="116"/>
      <c r="D221" s="109">
        <v>0</v>
      </c>
      <c r="E221" s="116">
        <v>100</v>
      </c>
      <c r="F221" s="116">
        <v>0</v>
      </c>
      <c r="G221" s="116">
        <v>100</v>
      </c>
      <c r="H221" s="116">
        <v>0</v>
      </c>
      <c r="I221" s="116">
        <v>0</v>
      </c>
      <c r="J221" s="119">
        <v>0</v>
      </c>
      <c r="K221" s="111">
        <f t="shared" ref="K221:K272" si="13">(J221*0.01*4.409*0.82)/2.2</f>
        <v>0</v>
      </c>
      <c r="L221" s="111">
        <f t="shared" si="12"/>
        <v>0</v>
      </c>
      <c r="M221" s="111">
        <f t="shared" ref="M221:M272" si="14">IF(J221=0,0,(1.42*(J221*0.01*4.409*0.82)-0.174*(J221*0.01*4.409*0.82)^2+0.0122*(J221*0.01*4.409*0.82)^3-1.65)/2.2)</f>
        <v>0</v>
      </c>
      <c r="N221" s="116">
        <v>0</v>
      </c>
      <c r="O221" s="116">
        <v>0</v>
      </c>
      <c r="P221" s="116">
        <v>0</v>
      </c>
      <c r="Q221" s="116">
        <v>0</v>
      </c>
      <c r="R221" s="116">
        <v>0</v>
      </c>
      <c r="S221" s="116">
        <v>0</v>
      </c>
      <c r="T221" s="116">
        <v>0</v>
      </c>
      <c r="U221" s="116">
        <v>0</v>
      </c>
      <c r="V221" s="116">
        <v>0</v>
      </c>
      <c r="W221" s="116">
        <v>0</v>
      </c>
      <c r="X221" s="116">
        <v>0</v>
      </c>
      <c r="Y221" s="116">
        <v>0</v>
      </c>
      <c r="Z221" s="116">
        <v>0</v>
      </c>
      <c r="AA221" s="116">
        <v>0</v>
      </c>
      <c r="AB221" s="116">
        <v>0</v>
      </c>
      <c r="AC221" s="116">
        <v>0</v>
      </c>
      <c r="AD221" s="116">
        <v>0</v>
      </c>
      <c r="AE221" s="116">
        <v>0</v>
      </c>
      <c r="AF221" s="116">
        <v>0</v>
      </c>
      <c r="AG221" s="120"/>
      <c r="AH221" s="120"/>
    </row>
    <row r="222" spans="1:34" ht="13.5" thickBot="1">
      <c r="A222" s="107">
        <v>609</v>
      </c>
      <c r="B222" s="116" t="s">
        <v>48</v>
      </c>
      <c r="C222" s="116"/>
      <c r="D222" s="109">
        <v>0</v>
      </c>
      <c r="E222" s="116">
        <v>100</v>
      </c>
      <c r="F222" s="116">
        <v>0</v>
      </c>
      <c r="G222" s="116">
        <v>100</v>
      </c>
      <c r="H222" s="116">
        <v>0</v>
      </c>
      <c r="I222" s="116">
        <v>0</v>
      </c>
      <c r="J222" s="119">
        <v>0</v>
      </c>
      <c r="K222" s="111">
        <f t="shared" si="13"/>
        <v>0</v>
      </c>
      <c r="L222" s="111">
        <f t="shared" si="12"/>
        <v>0</v>
      </c>
      <c r="M222" s="111">
        <f t="shared" si="14"/>
        <v>0</v>
      </c>
      <c r="N222" s="116">
        <v>0</v>
      </c>
      <c r="O222" s="116">
        <v>0</v>
      </c>
      <c r="P222" s="116">
        <v>0</v>
      </c>
      <c r="Q222" s="116">
        <v>0</v>
      </c>
      <c r="R222" s="116">
        <v>0</v>
      </c>
      <c r="S222" s="116">
        <v>0</v>
      </c>
      <c r="T222" s="116">
        <v>0</v>
      </c>
      <c r="U222" s="116">
        <v>0</v>
      </c>
      <c r="V222" s="116">
        <v>0</v>
      </c>
      <c r="W222" s="116">
        <v>0</v>
      </c>
      <c r="X222" s="116">
        <v>0</v>
      </c>
      <c r="Y222" s="116">
        <v>0</v>
      </c>
      <c r="Z222" s="116">
        <v>0</v>
      </c>
      <c r="AA222" s="116">
        <v>0</v>
      </c>
      <c r="AB222" s="116">
        <v>0</v>
      </c>
      <c r="AC222" s="116">
        <v>0</v>
      </c>
      <c r="AD222" s="116">
        <v>0</v>
      </c>
      <c r="AE222" s="116">
        <v>0</v>
      </c>
      <c r="AF222" s="116">
        <v>0</v>
      </c>
      <c r="AG222" s="120"/>
      <c r="AH222" s="120"/>
    </row>
    <row r="223" spans="1:34" ht="13.5" thickBot="1">
      <c r="A223" s="107">
        <v>610</v>
      </c>
      <c r="B223" s="116" t="s">
        <v>512</v>
      </c>
      <c r="C223" s="116"/>
      <c r="D223" s="109">
        <v>0</v>
      </c>
      <c r="E223" s="116">
        <v>100</v>
      </c>
      <c r="F223" s="116">
        <v>0</v>
      </c>
      <c r="G223" s="116">
        <v>79</v>
      </c>
      <c r="H223" s="116">
        <v>0</v>
      </c>
      <c r="I223" s="116">
        <v>0</v>
      </c>
      <c r="J223" s="119">
        <v>50</v>
      </c>
      <c r="K223" s="111">
        <f t="shared" si="13"/>
        <v>0.82167727272727253</v>
      </c>
      <c r="L223" s="111">
        <f t="shared" si="12"/>
        <v>0.43982315745909745</v>
      </c>
      <c r="M223" s="111">
        <f t="shared" si="14"/>
        <v>0.19109032123313566</v>
      </c>
      <c r="N223" s="116">
        <v>23</v>
      </c>
      <c r="O223" s="116">
        <v>0</v>
      </c>
      <c r="P223" s="116">
        <v>0</v>
      </c>
      <c r="Q223" s="116">
        <v>2.9</v>
      </c>
      <c r="R223" s="116">
        <v>1.6</v>
      </c>
      <c r="S223" s="116">
        <v>0.7</v>
      </c>
      <c r="T223" s="116">
        <v>2.7</v>
      </c>
      <c r="U223" s="116">
        <v>0</v>
      </c>
      <c r="V223" s="116">
        <v>0.9</v>
      </c>
      <c r="W223" s="116">
        <v>0</v>
      </c>
      <c r="X223" s="116">
        <v>569</v>
      </c>
      <c r="Y223" s="116">
        <v>0</v>
      </c>
      <c r="Z223" s="116">
        <v>453</v>
      </c>
      <c r="AA223" s="116">
        <v>718</v>
      </c>
      <c r="AB223" s="116">
        <v>1.2</v>
      </c>
      <c r="AC223" s="116">
        <v>509</v>
      </c>
      <c r="AD223" s="116">
        <v>0</v>
      </c>
      <c r="AE223" s="116">
        <v>0</v>
      </c>
      <c r="AF223" s="116">
        <v>0</v>
      </c>
      <c r="AG223" s="120"/>
      <c r="AH223" s="120"/>
    </row>
    <row r="224" spans="1:34" ht="13.5" thickBot="1">
      <c r="A224" s="107">
        <v>611</v>
      </c>
      <c r="B224" s="116" t="s">
        <v>518</v>
      </c>
      <c r="C224" s="116"/>
      <c r="D224" s="109">
        <v>0</v>
      </c>
      <c r="E224" s="116">
        <v>100</v>
      </c>
      <c r="F224" s="116">
        <v>0</v>
      </c>
      <c r="G224" s="116">
        <v>90</v>
      </c>
      <c r="H224" s="116">
        <v>30</v>
      </c>
      <c r="I224" s="116">
        <v>30</v>
      </c>
      <c r="J224" s="119">
        <v>87</v>
      </c>
      <c r="K224" s="111">
        <f t="shared" si="13"/>
        <v>1.4297184545454542</v>
      </c>
      <c r="L224" s="111">
        <f t="shared" si="12"/>
        <v>0.977556615236855</v>
      </c>
      <c r="M224" s="111">
        <f t="shared" si="14"/>
        <v>0.67028730081875243</v>
      </c>
      <c r="N224" s="116">
        <v>32.5</v>
      </c>
      <c r="O224" s="116">
        <v>74</v>
      </c>
      <c r="P224" s="116">
        <v>13</v>
      </c>
      <c r="Q224" s="116">
        <v>0.34</v>
      </c>
      <c r="R224" s="116">
        <v>0.47</v>
      </c>
      <c r="S224" s="116">
        <v>0</v>
      </c>
      <c r="T224" s="116">
        <v>0</v>
      </c>
      <c r="U224" s="116">
        <v>0</v>
      </c>
      <c r="V224" s="116">
        <v>0</v>
      </c>
      <c r="W224" s="116">
        <v>0</v>
      </c>
      <c r="X224" s="116">
        <v>0</v>
      </c>
      <c r="Y224" s="116">
        <v>0</v>
      </c>
      <c r="Z224" s="116">
        <v>0</v>
      </c>
      <c r="AA224" s="116">
        <v>0</v>
      </c>
      <c r="AB224" s="116">
        <v>0</v>
      </c>
      <c r="AC224" s="116">
        <v>0</v>
      </c>
      <c r="AD224" s="116">
        <v>0</v>
      </c>
      <c r="AE224" s="116">
        <v>0</v>
      </c>
      <c r="AF224" s="116">
        <v>0</v>
      </c>
      <c r="AG224" s="120"/>
      <c r="AH224" s="120"/>
    </row>
    <row r="225" spans="1:34" ht="13.5" thickBot="1">
      <c r="A225" s="107">
        <v>612</v>
      </c>
      <c r="B225" s="116" t="s">
        <v>544</v>
      </c>
      <c r="C225" s="116"/>
      <c r="D225" s="109">
        <v>0</v>
      </c>
      <c r="E225" s="116">
        <v>100</v>
      </c>
      <c r="F225" s="116">
        <v>0</v>
      </c>
      <c r="G225" s="116">
        <v>90</v>
      </c>
      <c r="H225" s="116">
        <v>8</v>
      </c>
      <c r="I225" s="116">
        <v>0</v>
      </c>
      <c r="J225" s="119">
        <v>68</v>
      </c>
      <c r="K225" s="111">
        <f t="shared" si="13"/>
        <v>1.1174810909090909</v>
      </c>
      <c r="L225" s="111">
        <f t="shared" si="12"/>
        <v>0.71365123126228525</v>
      </c>
      <c r="M225" s="111">
        <f t="shared" si="14"/>
        <v>0.441196015352816</v>
      </c>
      <c r="N225" s="116">
        <v>8.6999999999999993</v>
      </c>
      <c r="O225" s="116">
        <v>60</v>
      </c>
      <c r="P225" s="116">
        <v>2</v>
      </c>
      <c r="Q225" s="116">
        <v>0.1</v>
      </c>
      <c r="R225" s="116">
        <v>1.5</v>
      </c>
      <c r="S225" s="116">
        <v>0</v>
      </c>
      <c r="T225" s="116">
        <v>0</v>
      </c>
      <c r="U225" s="116">
        <v>0</v>
      </c>
      <c r="V225" s="116">
        <v>0</v>
      </c>
      <c r="W225" s="116">
        <v>0</v>
      </c>
      <c r="X225" s="116">
        <v>0</v>
      </c>
      <c r="Y225" s="116">
        <v>0</v>
      </c>
      <c r="Z225" s="116">
        <v>0</v>
      </c>
      <c r="AA225" s="116">
        <v>0</v>
      </c>
      <c r="AB225" s="116">
        <v>0</v>
      </c>
      <c r="AC225" s="116">
        <v>0</v>
      </c>
      <c r="AD225" s="116">
        <v>0</v>
      </c>
      <c r="AE225" s="116">
        <v>0</v>
      </c>
      <c r="AF225" s="116">
        <v>0</v>
      </c>
      <c r="AG225" s="120"/>
      <c r="AH225" s="120"/>
    </row>
    <row r="226" spans="1:34" ht="13.5" thickBot="1">
      <c r="A226" s="107">
        <v>613</v>
      </c>
      <c r="B226" s="116" t="s">
        <v>48</v>
      </c>
      <c r="C226" s="116"/>
      <c r="D226" s="109">
        <v>0</v>
      </c>
      <c r="E226" s="116">
        <v>100</v>
      </c>
      <c r="F226" s="116">
        <v>0</v>
      </c>
      <c r="G226" s="116">
        <v>0</v>
      </c>
      <c r="H226" s="116">
        <v>0</v>
      </c>
      <c r="I226" s="116">
        <v>0</v>
      </c>
      <c r="J226" s="119">
        <v>0</v>
      </c>
      <c r="K226" s="111">
        <f t="shared" si="13"/>
        <v>0</v>
      </c>
      <c r="L226" s="111">
        <f t="shared" si="12"/>
        <v>0</v>
      </c>
      <c r="M226" s="111">
        <f t="shared" si="14"/>
        <v>0</v>
      </c>
      <c r="N226" s="116">
        <v>0</v>
      </c>
      <c r="O226" s="116">
        <v>0</v>
      </c>
      <c r="P226" s="116">
        <v>0</v>
      </c>
      <c r="Q226" s="116">
        <v>0</v>
      </c>
      <c r="R226" s="116">
        <v>0</v>
      </c>
      <c r="S226" s="116">
        <v>0</v>
      </c>
      <c r="T226" s="116">
        <v>0</v>
      </c>
      <c r="U226" s="116">
        <v>0</v>
      </c>
      <c r="V226" s="116">
        <v>0</v>
      </c>
      <c r="W226" s="116">
        <v>0</v>
      </c>
      <c r="X226" s="116">
        <v>0</v>
      </c>
      <c r="Y226" s="116">
        <v>0</v>
      </c>
      <c r="Z226" s="116">
        <v>0</v>
      </c>
      <c r="AA226" s="116">
        <v>0</v>
      </c>
      <c r="AB226" s="116">
        <v>0</v>
      </c>
      <c r="AC226" s="116">
        <v>0</v>
      </c>
      <c r="AD226" s="116">
        <v>0</v>
      </c>
      <c r="AE226" s="116">
        <v>0</v>
      </c>
      <c r="AF226" s="116">
        <v>0</v>
      </c>
      <c r="AG226" s="120"/>
      <c r="AH226" s="120"/>
    </row>
    <row r="227" spans="1:34" ht="13.5" thickBot="1">
      <c r="A227" s="107">
        <v>614</v>
      </c>
      <c r="B227" s="116" t="s">
        <v>48</v>
      </c>
      <c r="C227" s="116"/>
      <c r="D227" s="109">
        <v>0</v>
      </c>
      <c r="E227" s="116">
        <v>100</v>
      </c>
      <c r="F227" s="116">
        <v>0</v>
      </c>
      <c r="G227" s="116">
        <v>100</v>
      </c>
      <c r="H227" s="116">
        <v>0</v>
      </c>
      <c r="I227" s="116">
        <v>0</v>
      </c>
      <c r="J227" s="119">
        <v>0</v>
      </c>
      <c r="K227" s="111">
        <f t="shared" si="13"/>
        <v>0</v>
      </c>
      <c r="L227" s="111">
        <f t="shared" si="12"/>
        <v>0</v>
      </c>
      <c r="M227" s="111">
        <f t="shared" si="14"/>
        <v>0</v>
      </c>
      <c r="N227" s="116">
        <v>0</v>
      </c>
      <c r="O227" s="116">
        <v>0</v>
      </c>
      <c r="P227" s="116">
        <v>0</v>
      </c>
      <c r="Q227" s="116">
        <v>0</v>
      </c>
      <c r="R227" s="116">
        <v>0</v>
      </c>
      <c r="S227" s="116">
        <v>0</v>
      </c>
      <c r="T227" s="116">
        <v>0</v>
      </c>
      <c r="U227" s="116">
        <v>0</v>
      </c>
      <c r="V227" s="116">
        <v>0</v>
      </c>
      <c r="W227" s="116">
        <v>0</v>
      </c>
      <c r="X227" s="116">
        <v>0</v>
      </c>
      <c r="Y227" s="116">
        <v>0</v>
      </c>
      <c r="Z227" s="116">
        <v>0</v>
      </c>
      <c r="AA227" s="116">
        <v>0</v>
      </c>
      <c r="AB227" s="116">
        <v>0</v>
      </c>
      <c r="AC227" s="116">
        <v>0</v>
      </c>
      <c r="AD227" s="116">
        <v>0</v>
      </c>
      <c r="AE227" s="116">
        <v>0</v>
      </c>
      <c r="AF227" s="116">
        <v>0</v>
      </c>
      <c r="AG227" s="120"/>
      <c r="AH227" s="120"/>
    </row>
    <row r="228" spans="1:34" ht="13.5" thickBot="1">
      <c r="A228" s="107">
        <v>701</v>
      </c>
      <c r="B228" s="107" t="s">
        <v>237</v>
      </c>
      <c r="C228" s="107" t="s">
        <v>236</v>
      </c>
      <c r="D228" s="109">
        <v>0</v>
      </c>
      <c r="E228" s="107">
        <v>100</v>
      </c>
      <c r="F228" s="107">
        <v>0</v>
      </c>
      <c r="G228" s="107">
        <v>90</v>
      </c>
      <c r="H228" s="107">
        <v>0.91700000000000004</v>
      </c>
      <c r="I228" s="107">
        <v>0</v>
      </c>
      <c r="J228" s="110">
        <v>66</v>
      </c>
      <c r="K228" s="111">
        <f t="shared" si="13"/>
        <v>1.084614</v>
      </c>
      <c r="L228" s="111">
        <f t="shared" si="12"/>
        <v>0.68452159590899575</v>
      </c>
      <c r="M228" s="111">
        <f t="shared" si="14"/>
        <v>0.41517163498582677</v>
      </c>
      <c r="N228" s="107">
        <v>93.79</v>
      </c>
      <c r="O228" s="107">
        <v>25</v>
      </c>
      <c r="P228" s="107">
        <v>1.7</v>
      </c>
      <c r="Q228" s="107">
        <v>0.4</v>
      </c>
      <c r="R228" s="107">
        <v>0.32</v>
      </c>
      <c r="S228" s="107">
        <v>0.04</v>
      </c>
      <c r="T228" s="107">
        <v>0.31</v>
      </c>
      <c r="U228" s="107">
        <v>0.4</v>
      </c>
      <c r="V228" s="107">
        <v>0.8</v>
      </c>
      <c r="W228" s="107">
        <v>9.7000000000000003E-2</v>
      </c>
      <c r="X228" s="107">
        <v>13.9</v>
      </c>
      <c r="Y228" s="107">
        <v>0</v>
      </c>
      <c r="Z228" s="107">
        <v>2281</v>
      </c>
      <c r="AA228" s="107">
        <v>11.7</v>
      </c>
      <c r="AB228" s="107">
        <v>0.80100000000000005</v>
      </c>
      <c r="AC228" s="107">
        <v>33</v>
      </c>
      <c r="AD228" s="107">
        <v>0</v>
      </c>
      <c r="AE228" s="107">
        <v>0</v>
      </c>
      <c r="AF228" s="107">
        <v>0</v>
      </c>
      <c r="AG228" s="112"/>
      <c r="AH228" s="112"/>
    </row>
    <row r="229" spans="1:34" ht="13.5" thickBot="1">
      <c r="A229" s="107">
        <v>702</v>
      </c>
      <c r="B229" s="107" t="s">
        <v>239</v>
      </c>
      <c r="C229" s="107" t="s">
        <v>238</v>
      </c>
      <c r="D229" s="109">
        <v>0</v>
      </c>
      <c r="E229" s="107">
        <v>100</v>
      </c>
      <c r="F229" s="107">
        <v>0</v>
      </c>
      <c r="G229" s="107">
        <v>90</v>
      </c>
      <c r="H229" s="107">
        <v>39</v>
      </c>
      <c r="I229" s="107">
        <v>23</v>
      </c>
      <c r="J229" s="110">
        <v>68</v>
      </c>
      <c r="K229" s="111">
        <f t="shared" si="13"/>
        <v>1.1174810909090909</v>
      </c>
      <c r="L229" s="111">
        <f t="shared" si="12"/>
        <v>0.71365123126228525</v>
      </c>
      <c r="M229" s="111">
        <f t="shared" si="14"/>
        <v>0.441196015352816</v>
      </c>
      <c r="N229" s="107">
        <v>85.8</v>
      </c>
      <c r="O229" s="107">
        <v>30</v>
      </c>
      <c r="P229" s="107">
        <v>7.21</v>
      </c>
      <c r="Q229" s="107">
        <v>1.19</v>
      </c>
      <c r="R229" s="107">
        <v>0.68</v>
      </c>
      <c r="S229" s="107">
        <v>0.06</v>
      </c>
      <c r="T229" s="107">
        <v>0.2</v>
      </c>
      <c r="U229" s="107">
        <v>0.24</v>
      </c>
      <c r="V229" s="107">
        <v>1.85</v>
      </c>
      <c r="W229" s="107">
        <v>0.125</v>
      </c>
      <c r="X229" s="107">
        <v>14.2</v>
      </c>
      <c r="Y229" s="107">
        <v>4.7E-2</v>
      </c>
      <c r="Z229" s="107">
        <v>702</v>
      </c>
      <c r="AA229" s="107">
        <v>12</v>
      </c>
      <c r="AB229" s="107">
        <v>0.98299999999999998</v>
      </c>
      <c r="AC229" s="107">
        <v>105</v>
      </c>
      <c r="AD229" s="107">
        <v>0</v>
      </c>
      <c r="AE229" s="107">
        <v>0</v>
      </c>
      <c r="AF229" s="107">
        <v>0</v>
      </c>
      <c r="AG229" s="112"/>
      <c r="AH229" s="112"/>
    </row>
    <row r="230" spans="1:34" ht="13.5" thickBot="1">
      <c r="A230" s="107">
        <v>703</v>
      </c>
      <c r="B230" s="107" t="s">
        <v>241</v>
      </c>
      <c r="C230" s="107" t="s">
        <v>240</v>
      </c>
      <c r="D230" s="109">
        <v>0</v>
      </c>
      <c r="E230" s="107">
        <v>100</v>
      </c>
      <c r="F230" s="107">
        <v>0</v>
      </c>
      <c r="G230" s="107">
        <v>90</v>
      </c>
      <c r="H230" s="107">
        <v>2</v>
      </c>
      <c r="I230" s="107">
        <v>10</v>
      </c>
      <c r="J230" s="110">
        <v>73</v>
      </c>
      <c r="K230" s="111">
        <f t="shared" si="13"/>
        <v>1.1996488181818179</v>
      </c>
      <c r="L230" s="111">
        <f t="shared" si="12"/>
        <v>0.7852397027574235</v>
      </c>
      <c r="M230" s="111">
        <f t="shared" si="14"/>
        <v>0.50453730053885015</v>
      </c>
      <c r="N230" s="107">
        <v>67.900000000000006</v>
      </c>
      <c r="O230" s="107">
        <v>40</v>
      </c>
      <c r="P230" s="107">
        <v>10.7</v>
      </c>
      <c r="Q230" s="107">
        <v>5.46</v>
      </c>
      <c r="R230" s="107">
        <v>3.14</v>
      </c>
      <c r="S230" s="107">
        <v>0.16</v>
      </c>
      <c r="T230" s="107">
        <v>0.77</v>
      </c>
      <c r="U230" s="107">
        <v>0.44</v>
      </c>
      <c r="V230" s="107">
        <v>0.57999999999999996</v>
      </c>
      <c r="W230" s="107">
        <v>0.12</v>
      </c>
      <c r="X230" s="107">
        <v>11.3</v>
      </c>
      <c r="Y230" s="107">
        <v>1.19</v>
      </c>
      <c r="Z230" s="107">
        <v>594</v>
      </c>
      <c r="AA230" s="107">
        <v>40</v>
      </c>
      <c r="AB230" s="107">
        <v>2.34</v>
      </c>
      <c r="AC230" s="107">
        <v>157</v>
      </c>
      <c r="AD230" s="107">
        <v>0</v>
      </c>
      <c r="AE230" s="107">
        <v>0</v>
      </c>
      <c r="AF230" s="107">
        <v>13</v>
      </c>
      <c r="AG230" s="112"/>
      <c r="AH230" s="112"/>
    </row>
    <row r="231" spans="1:34" ht="13.5" thickBot="1">
      <c r="A231" s="107">
        <v>704</v>
      </c>
      <c r="B231" s="107" t="s">
        <v>243</v>
      </c>
      <c r="C231" s="107" t="s">
        <v>242</v>
      </c>
      <c r="D231" s="109">
        <v>0</v>
      </c>
      <c r="E231" s="107">
        <v>100</v>
      </c>
      <c r="F231" s="107">
        <v>0</v>
      </c>
      <c r="G231" s="107">
        <v>95</v>
      </c>
      <c r="H231" s="107">
        <v>28.21</v>
      </c>
      <c r="I231" s="107">
        <v>0</v>
      </c>
      <c r="J231" s="110">
        <v>71</v>
      </c>
      <c r="K231" s="111">
        <f t="shared" si="13"/>
        <v>1.166781727272727</v>
      </c>
      <c r="L231" s="111">
        <f t="shared" ref="L231:L280" si="15">IF(J231 = 0,0,(1.37*(J231*0.01*4.409*0.82)-0.138*(J231*0.01*4.409*0.82)^2+0.0105*(J231*0.01*4.409*0.82)^3-1.12)/2.2)</f>
        <v>0.75680936792105002</v>
      </c>
      <c r="M231" s="111">
        <f t="shared" si="14"/>
        <v>0.47948772453548699</v>
      </c>
      <c r="N231" s="107">
        <v>58.2</v>
      </c>
      <c r="O231" s="107">
        <v>45</v>
      </c>
      <c r="P231" s="107">
        <v>11</v>
      </c>
      <c r="Q231" s="107">
        <v>9.1300000000000008</v>
      </c>
      <c r="R231" s="107">
        <v>4.34</v>
      </c>
      <c r="S231" s="107">
        <v>0.27</v>
      </c>
      <c r="T231" s="107">
        <v>0.49</v>
      </c>
      <c r="U231" s="107">
        <v>0.8</v>
      </c>
      <c r="V231" s="107">
        <v>0.51</v>
      </c>
      <c r="W231" s="107">
        <v>0</v>
      </c>
      <c r="X231" s="107">
        <v>21.4</v>
      </c>
      <c r="Y231" s="107">
        <v>0</v>
      </c>
      <c r="Z231" s="107">
        <v>758</v>
      </c>
      <c r="AA231" s="107">
        <v>174</v>
      </c>
      <c r="AB231" s="107">
        <v>0</v>
      </c>
      <c r="AC231" s="107">
        <v>265</v>
      </c>
      <c r="AD231" s="107">
        <v>0</v>
      </c>
      <c r="AE231" s="107">
        <v>0</v>
      </c>
      <c r="AF231" s="107">
        <v>1</v>
      </c>
      <c r="AG231" s="112"/>
      <c r="AH231" s="112"/>
    </row>
    <row r="232" spans="1:34" ht="13.5" thickBot="1">
      <c r="A232" s="107">
        <v>705</v>
      </c>
      <c r="B232" s="107" t="s">
        <v>245</v>
      </c>
      <c r="C232" s="107" t="s">
        <v>244</v>
      </c>
      <c r="D232" s="109">
        <v>0</v>
      </c>
      <c r="E232" s="107">
        <v>100</v>
      </c>
      <c r="F232" s="107">
        <v>0</v>
      </c>
      <c r="G232" s="107">
        <v>99</v>
      </c>
      <c r="H232" s="107">
        <v>0</v>
      </c>
      <c r="I232" s="107">
        <v>0</v>
      </c>
      <c r="J232" s="110">
        <v>177</v>
      </c>
      <c r="K232" s="111">
        <f t="shared" si="13"/>
        <v>2.9087375454545445</v>
      </c>
      <c r="L232" s="111">
        <f t="shared" si="15"/>
        <v>2.1578805305526241</v>
      </c>
      <c r="M232" s="111">
        <f t="shared" si="14"/>
        <v>1.594808602433617</v>
      </c>
      <c r="N232" s="107">
        <v>0</v>
      </c>
      <c r="O232" s="107">
        <v>100</v>
      </c>
      <c r="P232" s="107">
        <v>99.2</v>
      </c>
      <c r="Q232" s="107">
        <v>0.56999999999999995</v>
      </c>
      <c r="R232" s="107">
        <v>0.06</v>
      </c>
      <c r="S232" s="107">
        <v>0.06</v>
      </c>
      <c r="T232" s="107">
        <v>0.32</v>
      </c>
      <c r="U232" s="107">
        <v>0.01</v>
      </c>
      <c r="V232" s="107">
        <v>0</v>
      </c>
      <c r="W232" s="107">
        <v>0.56999999999999995</v>
      </c>
      <c r="X232" s="107">
        <v>15</v>
      </c>
      <c r="Y232" s="107">
        <v>0.68</v>
      </c>
      <c r="Z232" s="107">
        <v>482</v>
      </c>
      <c r="AA232" s="107">
        <v>47</v>
      </c>
      <c r="AB232" s="107">
        <v>0</v>
      </c>
      <c r="AC232" s="107">
        <v>42</v>
      </c>
      <c r="AD232" s="107">
        <v>0</v>
      </c>
      <c r="AE232" s="107">
        <v>0</v>
      </c>
      <c r="AF232" s="107">
        <v>0</v>
      </c>
      <c r="AG232" s="112"/>
      <c r="AH232" s="112"/>
    </row>
    <row r="233" spans="1:34" ht="13.5" thickBot="1">
      <c r="A233" s="107">
        <v>706</v>
      </c>
      <c r="B233" s="107" t="s">
        <v>247</v>
      </c>
      <c r="C233" s="107" t="s">
        <v>246</v>
      </c>
      <c r="D233" s="109">
        <v>0</v>
      </c>
      <c r="E233" s="107">
        <v>100</v>
      </c>
      <c r="F233" s="107">
        <v>0</v>
      </c>
      <c r="G233" s="107">
        <v>7</v>
      </c>
      <c r="H233" s="107">
        <v>0</v>
      </c>
      <c r="I233" s="107">
        <v>0</v>
      </c>
      <c r="J233" s="110">
        <v>78</v>
      </c>
      <c r="K233" s="111">
        <f t="shared" si="13"/>
        <v>1.2818165454545454</v>
      </c>
      <c r="L233" s="111">
        <f t="shared" si="15"/>
        <v>0.85519833279509228</v>
      </c>
      <c r="M233" s="111">
        <f t="shared" si="14"/>
        <v>0.56557915576675344</v>
      </c>
      <c r="N233" s="107">
        <v>14.2</v>
      </c>
      <c r="O233" s="107">
        <v>100</v>
      </c>
      <c r="P233" s="107">
        <v>0.7</v>
      </c>
      <c r="Q233" s="107">
        <v>0.81</v>
      </c>
      <c r="R233" s="107">
        <v>0.71</v>
      </c>
      <c r="S233" s="107">
        <v>0</v>
      </c>
      <c r="T233" s="107">
        <v>2.75</v>
      </c>
      <c r="U233" s="107">
        <v>0</v>
      </c>
      <c r="V233" s="107">
        <v>0</v>
      </c>
      <c r="W233" s="107">
        <v>0</v>
      </c>
      <c r="X233" s="107">
        <v>0</v>
      </c>
      <c r="Y233" s="107">
        <v>0</v>
      </c>
      <c r="Z233" s="107">
        <v>290</v>
      </c>
      <c r="AA233" s="107">
        <v>3.2</v>
      </c>
      <c r="AB233" s="107">
        <v>0</v>
      </c>
      <c r="AC233" s="107">
        <v>0</v>
      </c>
      <c r="AD233" s="107">
        <v>0</v>
      </c>
      <c r="AE233" s="107">
        <v>0</v>
      </c>
      <c r="AF233" s="107">
        <v>0</v>
      </c>
      <c r="AG233" s="112"/>
      <c r="AH233" s="112"/>
    </row>
    <row r="234" spans="1:34" ht="13.5" thickBot="1">
      <c r="A234" s="107">
        <v>707</v>
      </c>
      <c r="B234" s="107" t="s">
        <v>249</v>
      </c>
      <c r="C234" s="107" t="s">
        <v>248</v>
      </c>
      <c r="D234" s="109">
        <v>0</v>
      </c>
      <c r="E234" s="107">
        <v>100</v>
      </c>
      <c r="F234" s="107">
        <v>0</v>
      </c>
      <c r="G234" s="107">
        <v>93</v>
      </c>
      <c r="H234" s="107">
        <v>0</v>
      </c>
      <c r="I234" s="107">
        <v>0</v>
      </c>
      <c r="J234" s="110">
        <v>71</v>
      </c>
      <c r="K234" s="111">
        <f t="shared" si="13"/>
        <v>1.166781727272727</v>
      </c>
      <c r="L234" s="111">
        <f t="shared" si="15"/>
        <v>0.75680936792105002</v>
      </c>
      <c r="M234" s="111">
        <f t="shared" si="14"/>
        <v>0.47948772453548699</v>
      </c>
      <c r="N234" s="107">
        <v>17.899999999999999</v>
      </c>
      <c r="O234" s="107">
        <v>100</v>
      </c>
      <c r="P234" s="107">
        <v>1.1000000000000001</v>
      </c>
      <c r="Q234" s="107">
        <v>1.6</v>
      </c>
      <c r="R234" s="107">
        <v>1.18</v>
      </c>
      <c r="S234" s="107">
        <v>0.23</v>
      </c>
      <c r="T234" s="107">
        <v>3.16</v>
      </c>
      <c r="U234" s="107">
        <v>1.54</v>
      </c>
      <c r="V234" s="107">
        <v>1.1499999999999999</v>
      </c>
      <c r="W234" s="107">
        <v>0</v>
      </c>
      <c r="X234" s="107">
        <v>7.5</v>
      </c>
      <c r="Y234" s="107">
        <v>10.554</v>
      </c>
      <c r="Z234" s="107">
        <v>270</v>
      </c>
      <c r="AA234" s="107">
        <v>8.6</v>
      </c>
      <c r="AB234" s="107">
        <v>5.6000000000000001E-2</v>
      </c>
      <c r="AC234" s="107">
        <v>8.4</v>
      </c>
      <c r="AD234" s="107">
        <v>0</v>
      </c>
      <c r="AE234" s="107">
        <v>0</v>
      </c>
      <c r="AF234" s="107">
        <v>0</v>
      </c>
      <c r="AG234" s="112"/>
      <c r="AH234" s="112"/>
    </row>
    <row r="235" spans="1:34" ht="13.5" thickBot="1">
      <c r="A235" s="107">
        <v>708</v>
      </c>
      <c r="B235" s="116" t="s">
        <v>48</v>
      </c>
      <c r="C235" s="116"/>
      <c r="D235" s="109">
        <v>0</v>
      </c>
      <c r="E235" s="116">
        <v>100</v>
      </c>
      <c r="F235" s="116">
        <v>0</v>
      </c>
      <c r="G235" s="116">
        <v>100</v>
      </c>
      <c r="H235" s="116">
        <v>0</v>
      </c>
      <c r="I235" s="116">
        <v>0</v>
      </c>
      <c r="J235" s="119">
        <v>0</v>
      </c>
      <c r="K235" s="111">
        <f t="shared" si="13"/>
        <v>0</v>
      </c>
      <c r="L235" s="111">
        <f t="shared" si="15"/>
        <v>0</v>
      </c>
      <c r="M235" s="111">
        <f t="shared" si="14"/>
        <v>0</v>
      </c>
      <c r="N235" s="116">
        <v>0</v>
      </c>
      <c r="O235" s="116">
        <v>0</v>
      </c>
      <c r="P235" s="116">
        <v>0</v>
      </c>
      <c r="Q235" s="116">
        <v>0</v>
      </c>
      <c r="R235" s="116">
        <v>0</v>
      </c>
      <c r="S235" s="116">
        <v>0</v>
      </c>
      <c r="T235" s="116">
        <v>0</v>
      </c>
      <c r="U235" s="116">
        <v>0</v>
      </c>
      <c r="V235" s="116">
        <v>0</v>
      </c>
      <c r="W235" s="116">
        <v>0</v>
      </c>
      <c r="X235" s="116">
        <v>0</v>
      </c>
      <c r="Y235" s="116">
        <v>0</v>
      </c>
      <c r="Z235" s="116">
        <v>0</v>
      </c>
      <c r="AA235" s="116">
        <v>0</v>
      </c>
      <c r="AB235" s="116">
        <v>0</v>
      </c>
      <c r="AC235" s="116">
        <v>0</v>
      </c>
      <c r="AD235" s="116">
        <v>0</v>
      </c>
      <c r="AE235" s="116">
        <v>0</v>
      </c>
      <c r="AF235" s="116">
        <v>0</v>
      </c>
      <c r="AG235" s="120"/>
      <c r="AH235" s="120"/>
    </row>
    <row r="236" spans="1:34" ht="13.5" thickBot="1">
      <c r="A236" s="107">
        <v>709</v>
      </c>
      <c r="B236" s="116" t="s">
        <v>48</v>
      </c>
      <c r="C236" s="116"/>
      <c r="D236" s="109">
        <v>0</v>
      </c>
      <c r="E236" s="116">
        <v>100</v>
      </c>
      <c r="F236" s="116">
        <v>0</v>
      </c>
      <c r="G236" s="116">
        <v>100</v>
      </c>
      <c r="H236" s="116">
        <v>0</v>
      </c>
      <c r="I236" s="116">
        <v>0</v>
      </c>
      <c r="J236" s="119">
        <v>0</v>
      </c>
      <c r="K236" s="111">
        <f t="shared" si="13"/>
        <v>0</v>
      </c>
      <c r="L236" s="111">
        <f t="shared" si="15"/>
        <v>0</v>
      </c>
      <c r="M236" s="111">
        <f t="shared" si="14"/>
        <v>0</v>
      </c>
      <c r="N236" s="116">
        <v>0</v>
      </c>
      <c r="O236" s="116">
        <v>0</v>
      </c>
      <c r="P236" s="116">
        <v>0</v>
      </c>
      <c r="Q236" s="116">
        <v>0</v>
      </c>
      <c r="R236" s="116">
        <v>0</v>
      </c>
      <c r="S236" s="116">
        <v>0</v>
      </c>
      <c r="T236" s="116">
        <v>0</v>
      </c>
      <c r="U236" s="116">
        <v>0</v>
      </c>
      <c r="V236" s="116">
        <v>0</v>
      </c>
      <c r="W236" s="116">
        <v>0</v>
      </c>
      <c r="X236" s="116">
        <v>0</v>
      </c>
      <c r="Y236" s="116">
        <v>0</v>
      </c>
      <c r="Z236" s="116">
        <v>0</v>
      </c>
      <c r="AA236" s="116">
        <v>0</v>
      </c>
      <c r="AB236" s="116">
        <v>0</v>
      </c>
      <c r="AC236" s="116">
        <v>0</v>
      </c>
      <c r="AD236" s="116">
        <v>0</v>
      </c>
      <c r="AE236" s="116">
        <v>0</v>
      </c>
      <c r="AF236" s="116">
        <v>0</v>
      </c>
      <c r="AG236" s="120"/>
      <c r="AH236" s="120"/>
    </row>
    <row r="237" spans="1:34" ht="13.5" thickBot="1">
      <c r="A237" s="107">
        <v>710</v>
      </c>
      <c r="B237" s="116" t="s">
        <v>48</v>
      </c>
      <c r="C237" s="116"/>
      <c r="D237" s="109">
        <v>0</v>
      </c>
      <c r="E237" s="116">
        <v>100</v>
      </c>
      <c r="F237" s="116">
        <v>0</v>
      </c>
      <c r="G237" s="116">
        <v>100</v>
      </c>
      <c r="H237" s="116">
        <v>0</v>
      </c>
      <c r="I237" s="116">
        <v>0</v>
      </c>
      <c r="J237" s="119">
        <v>0</v>
      </c>
      <c r="K237" s="111">
        <f t="shared" si="13"/>
        <v>0</v>
      </c>
      <c r="L237" s="111">
        <f t="shared" si="15"/>
        <v>0</v>
      </c>
      <c r="M237" s="111">
        <f t="shared" si="14"/>
        <v>0</v>
      </c>
      <c r="N237" s="116">
        <v>0</v>
      </c>
      <c r="O237" s="116">
        <v>0</v>
      </c>
      <c r="P237" s="116">
        <v>0</v>
      </c>
      <c r="Q237" s="116">
        <v>0</v>
      </c>
      <c r="R237" s="116">
        <v>0</v>
      </c>
      <c r="S237" s="116">
        <v>0</v>
      </c>
      <c r="T237" s="116">
        <v>0</v>
      </c>
      <c r="U237" s="116">
        <v>0</v>
      </c>
      <c r="V237" s="116">
        <v>0</v>
      </c>
      <c r="W237" s="116">
        <v>0</v>
      </c>
      <c r="X237" s="116">
        <v>0</v>
      </c>
      <c r="Y237" s="116">
        <v>0</v>
      </c>
      <c r="Z237" s="116">
        <v>0</v>
      </c>
      <c r="AA237" s="116">
        <v>0</v>
      </c>
      <c r="AB237" s="116">
        <v>0</v>
      </c>
      <c r="AC237" s="116">
        <v>0</v>
      </c>
      <c r="AD237" s="116">
        <v>0</v>
      </c>
      <c r="AE237" s="116">
        <v>0</v>
      </c>
      <c r="AF237" s="116">
        <v>0</v>
      </c>
      <c r="AG237" s="120"/>
      <c r="AH237" s="120"/>
    </row>
    <row r="238" spans="1:34" ht="13.5" thickBot="1">
      <c r="A238" s="107">
        <v>711</v>
      </c>
      <c r="B238" s="116" t="s">
        <v>48</v>
      </c>
      <c r="C238" s="116"/>
      <c r="D238" s="109">
        <v>0</v>
      </c>
      <c r="E238" s="116">
        <v>100</v>
      </c>
      <c r="F238" s="116">
        <v>0</v>
      </c>
      <c r="G238" s="116">
        <v>100</v>
      </c>
      <c r="H238" s="116">
        <v>0</v>
      </c>
      <c r="I238" s="116">
        <v>0</v>
      </c>
      <c r="J238" s="119">
        <v>0</v>
      </c>
      <c r="K238" s="111">
        <f t="shared" si="13"/>
        <v>0</v>
      </c>
      <c r="L238" s="111">
        <f t="shared" si="15"/>
        <v>0</v>
      </c>
      <c r="M238" s="111">
        <f t="shared" si="14"/>
        <v>0</v>
      </c>
      <c r="N238" s="116">
        <v>0</v>
      </c>
      <c r="O238" s="116">
        <v>0</v>
      </c>
      <c r="P238" s="116">
        <v>0</v>
      </c>
      <c r="Q238" s="116">
        <v>0</v>
      </c>
      <c r="R238" s="116">
        <v>0</v>
      </c>
      <c r="S238" s="116">
        <v>0</v>
      </c>
      <c r="T238" s="116">
        <v>0</v>
      </c>
      <c r="U238" s="116">
        <v>0</v>
      </c>
      <c r="V238" s="116">
        <v>0</v>
      </c>
      <c r="W238" s="116">
        <v>0</v>
      </c>
      <c r="X238" s="116">
        <v>0</v>
      </c>
      <c r="Y238" s="116">
        <v>0</v>
      </c>
      <c r="Z238" s="116">
        <v>0</v>
      </c>
      <c r="AA238" s="116">
        <v>0</v>
      </c>
      <c r="AB238" s="116">
        <v>0</v>
      </c>
      <c r="AC238" s="116">
        <v>0</v>
      </c>
      <c r="AD238" s="116">
        <v>0</v>
      </c>
      <c r="AE238" s="116">
        <v>0</v>
      </c>
      <c r="AF238" s="116">
        <v>0</v>
      </c>
      <c r="AG238" s="120"/>
      <c r="AH238" s="120"/>
    </row>
    <row r="239" spans="1:34" ht="13.5" thickBot="1">
      <c r="A239" s="107">
        <v>712</v>
      </c>
      <c r="B239" s="116" t="s">
        <v>48</v>
      </c>
      <c r="C239" s="116"/>
      <c r="D239" s="109">
        <v>0</v>
      </c>
      <c r="E239" s="116">
        <v>100</v>
      </c>
      <c r="F239" s="116">
        <v>0</v>
      </c>
      <c r="G239" s="116">
        <v>100</v>
      </c>
      <c r="H239" s="116">
        <v>0</v>
      </c>
      <c r="I239" s="116">
        <v>0</v>
      </c>
      <c r="J239" s="119">
        <v>0</v>
      </c>
      <c r="K239" s="111">
        <f t="shared" si="13"/>
        <v>0</v>
      </c>
      <c r="L239" s="111">
        <f t="shared" si="15"/>
        <v>0</v>
      </c>
      <c r="M239" s="111">
        <f t="shared" si="14"/>
        <v>0</v>
      </c>
      <c r="N239" s="116">
        <v>0</v>
      </c>
      <c r="O239" s="116">
        <v>0</v>
      </c>
      <c r="P239" s="116">
        <v>0</v>
      </c>
      <c r="Q239" s="116">
        <v>0</v>
      </c>
      <c r="R239" s="116">
        <v>0</v>
      </c>
      <c r="S239" s="116">
        <v>0</v>
      </c>
      <c r="T239" s="116">
        <v>0</v>
      </c>
      <c r="U239" s="116">
        <v>0</v>
      </c>
      <c r="V239" s="116">
        <v>0</v>
      </c>
      <c r="W239" s="116">
        <v>0</v>
      </c>
      <c r="X239" s="116">
        <v>0</v>
      </c>
      <c r="Y239" s="116">
        <v>0</v>
      </c>
      <c r="Z239" s="116">
        <v>0</v>
      </c>
      <c r="AA239" s="116">
        <v>0</v>
      </c>
      <c r="AB239" s="116">
        <v>0</v>
      </c>
      <c r="AC239" s="116">
        <v>0</v>
      </c>
      <c r="AD239" s="116">
        <v>0</v>
      </c>
      <c r="AE239" s="116">
        <v>0</v>
      </c>
      <c r="AF239" s="116">
        <v>0</v>
      </c>
      <c r="AG239" s="120"/>
      <c r="AH239" s="120"/>
    </row>
    <row r="240" spans="1:34" ht="13.5" thickBot="1">
      <c r="A240" s="107">
        <v>713</v>
      </c>
      <c r="B240" s="116" t="s">
        <v>48</v>
      </c>
      <c r="C240" s="116"/>
      <c r="D240" s="109">
        <v>0</v>
      </c>
      <c r="E240" s="116">
        <v>100</v>
      </c>
      <c r="F240" s="116">
        <v>0</v>
      </c>
      <c r="G240" s="116">
        <v>100</v>
      </c>
      <c r="H240" s="116">
        <v>0</v>
      </c>
      <c r="I240" s="116">
        <v>0</v>
      </c>
      <c r="J240" s="119">
        <v>0</v>
      </c>
      <c r="K240" s="111">
        <f t="shared" si="13"/>
        <v>0</v>
      </c>
      <c r="L240" s="111">
        <f t="shared" si="15"/>
        <v>0</v>
      </c>
      <c r="M240" s="111">
        <f t="shared" si="14"/>
        <v>0</v>
      </c>
      <c r="N240" s="116">
        <v>0</v>
      </c>
      <c r="O240" s="116">
        <v>0</v>
      </c>
      <c r="P240" s="116">
        <v>0</v>
      </c>
      <c r="Q240" s="116">
        <v>0</v>
      </c>
      <c r="R240" s="116">
        <v>0</v>
      </c>
      <c r="S240" s="116">
        <v>0</v>
      </c>
      <c r="T240" s="116">
        <v>0</v>
      </c>
      <c r="U240" s="116">
        <v>0</v>
      </c>
      <c r="V240" s="116">
        <v>0</v>
      </c>
      <c r="W240" s="116">
        <v>0</v>
      </c>
      <c r="X240" s="116">
        <v>0</v>
      </c>
      <c r="Y240" s="116">
        <v>0</v>
      </c>
      <c r="Z240" s="116">
        <v>0</v>
      </c>
      <c r="AA240" s="116">
        <v>0</v>
      </c>
      <c r="AB240" s="116">
        <v>0</v>
      </c>
      <c r="AC240" s="116">
        <v>0</v>
      </c>
      <c r="AD240" s="116">
        <v>0</v>
      </c>
      <c r="AE240" s="116">
        <v>0</v>
      </c>
      <c r="AF240" s="116">
        <v>0</v>
      </c>
      <c r="AG240" s="120"/>
      <c r="AH240" s="120"/>
    </row>
    <row r="241" spans="1:34" ht="13.5" thickBot="1">
      <c r="A241" s="107">
        <v>714</v>
      </c>
      <c r="B241" s="116" t="s">
        <v>517</v>
      </c>
      <c r="C241" s="116"/>
      <c r="D241" s="109">
        <v>0</v>
      </c>
      <c r="E241" s="116">
        <v>100</v>
      </c>
      <c r="F241" s="116">
        <v>0</v>
      </c>
      <c r="G241" s="116">
        <v>100</v>
      </c>
      <c r="H241" s="116">
        <v>0</v>
      </c>
      <c r="I241" s="116">
        <v>0</v>
      </c>
      <c r="J241" s="119">
        <v>0</v>
      </c>
      <c r="K241" s="111">
        <f t="shared" si="13"/>
        <v>0</v>
      </c>
      <c r="L241" s="111">
        <f t="shared" si="15"/>
        <v>0</v>
      </c>
      <c r="M241" s="111">
        <f t="shared" si="14"/>
        <v>0</v>
      </c>
      <c r="N241" s="116">
        <v>0</v>
      </c>
      <c r="O241" s="116">
        <v>0</v>
      </c>
      <c r="P241" s="116">
        <v>0</v>
      </c>
      <c r="Q241" s="116">
        <v>0</v>
      </c>
      <c r="R241" s="116">
        <v>0</v>
      </c>
      <c r="S241" s="116">
        <v>0</v>
      </c>
      <c r="T241" s="116">
        <v>0</v>
      </c>
      <c r="U241" s="116">
        <v>0</v>
      </c>
      <c r="V241" s="116">
        <v>0</v>
      </c>
      <c r="W241" s="116">
        <v>0</v>
      </c>
      <c r="X241" s="116">
        <v>0</v>
      </c>
      <c r="Y241" s="116">
        <v>0</v>
      </c>
      <c r="Z241" s="116">
        <v>0</v>
      </c>
      <c r="AA241" s="116">
        <v>0</v>
      </c>
      <c r="AB241" s="116">
        <v>0</v>
      </c>
      <c r="AC241" s="116">
        <v>0</v>
      </c>
      <c r="AD241" s="116">
        <v>0</v>
      </c>
      <c r="AE241" s="116">
        <v>0</v>
      </c>
      <c r="AF241" s="116">
        <v>0</v>
      </c>
      <c r="AG241" s="120"/>
      <c r="AH241" s="120"/>
    </row>
    <row r="242" spans="1:34" ht="13.5" thickBot="1">
      <c r="A242" s="107">
        <v>801</v>
      </c>
      <c r="B242" s="107" t="s">
        <v>251</v>
      </c>
      <c r="C242" s="107" t="s">
        <v>250</v>
      </c>
      <c r="D242" s="109">
        <v>0</v>
      </c>
      <c r="E242" s="107">
        <v>100</v>
      </c>
      <c r="F242" s="107">
        <v>0</v>
      </c>
      <c r="G242" s="107">
        <v>97</v>
      </c>
      <c r="H242" s="107">
        <v>0</v>
      </c>
      <c r="I242" s="107">
        <v>0</v>
      </c>
      <c r="J242" s="110">
        <v>0</v>
      </c>
      <c r="K242" s="111">
        <f t="shared" si="13"/>
        <v>0</v>
      </c>
      <c r="L242" s="111">
        <f t="shared" si="15"/>
        <v>0</v>
      </c>
      <c r="M242" s="111">
        <f t="shared" si="14"/>
        <v>0</v>
      </c>
      <c r="N242" s="107">
        <v>70.900000000000006</v>
      </c>
      <c r="O242" s="107">
        <v>100</v>
      </c>
      <c r="P242" s="107">
        <v>0</v>
      </c>
      <c r="Q242" s="107">
        <v>0.28000000000000003</v>
      </c>
      <c r="R242" s="107">
        <v>24.74</v>
      </c>
      <c r="S242" s="107">
        <v>0.46</v>
      </c>
      <c r="T242" s="107">
        <v>0.01</v>
      </c>
      <c r="U242" s="107">
        <v>0.06</v>
      </c>
      <c r="V242" s="107">
        <v>1.46</v>
      </c>
      <c r="W242" s="107">
        <v>10</v>
      </c>
      <c r="X242" s="107">
        <v>10</v>
      </c>
      <c r="Y242" s="107">
        <v>0</v>
      </c>
      <c r="Z242" s="107">
        <v>17400</v>
      </c>
      <c r="AA242" s="107">
        <v>400</v>
      </c>
      <c r="AB242" s="107">
        <v>0</v>
      </c>
      <c r="AC242" s="107">
        <v>100</v>
      </c>
      <c r="AD242" s="107">
        <v>0</v>
      </c>
      <c r="AE242" s="107">
        <v>0</v>
      </c>
      <c r="AF242" s="107">
        <v>0</v>
      </c>
      <c r="AG242" s="112"/>
      <c r="AH242" s="112"/>
    </row>
    <row r="243" spans="1:34" ht="13.5" thickBot="1">
      <c r="A243" s="107">
        <v>802</v>
      </c>
      <c r="B243" s="107" t="s">
        <v>253</v>
      </c>
      <c r="C243" s="107" t="s">
        <v>252</v>
      </c>
      <c r="D243" s="109">
        <v>0</v>
      </c>
      <c r="E243" s="107">
        <v>100</v>
      </c>
      <c r="F243" s="107">
        <v>0</v>
      </c>
      <c r="G243" s="107">
        <v>97</v>
      </c>
      <c r="H243" s="107">
        <v>0</v>
      </c>
      <c r="I243" s="107">
        <v>0</v>
      </c>
      <c r="J243" s="110">
        <v>0</v>
      </c>
      <c r="K243" s="111">
        <f t="shared" si="13"/>
        <v>0</v>
      </c>
      <c r="L243" s="111">
        <f t="shared" si="15"/>
        <v>0</v>
      </c>
      <c r="M243" s="111">
        <f t="shared" si="14"/>
        <v>0</v>
      </c>
      <c r="N243" s="107">
        <v>115.9</v>
      </c>
      <c r="O243" s="107">
        <v>100</v>
      </c>
      <c r="P243" s="107">
        <v>0</v>
      </c>
      <c r="Q243" s="107">
        <v>0.52</v>
      </c>
      <c r="R243" s="107">
        <v>20.6</v>
      </c>
      <c r="S243" s="107">
        <v>0.46</v>
      </c>
      <c r="T243" s="107">
        <v>0.01</v>
      </c>
      <c r="U243" s="107">
        <v>0.05</v>
      </c>
      <c r="V243" s="107">
        <v>2.16</v>
      </c>
      <c r="W243" s="107">
        <v>0</v>
      </c>
      <c r="X243" s="107">
        <v>10</v>
      </c>
      <c r="Y243" s="107">
        <v>0</v>
      </c>
      <c r="Z243" s="107">
        <v>12400</v>
      </c>
      <c r="AA243" s="107">
        <v>400</v>
      </c>
      <c r="AB243" s="107">
        <v>0</v>
      </c>
      <c r="AC243" s="107">
        <v>100</v>
      </c>
      <c r="AD243" s="107">
        <v>0</v>
      </c>
      <c r="AE243" s="107">
        <v>0</v>
      </c>
      <c r="AF243" s="107">
        <v>0</v>
      </c>
      <c r="AG243" s="112"/>
      <c r="AH243" s="112"/>
    </row>
    <row r="244" spans="1:34" ht="13.5" thickBot="1">
      <c r="A244" s="107">
        <v>803</v>
      </c>
      <c r="B244" s="107" t="s">
        <v>255</v>
      </c>
      <c r="C244" s="107" t="s">
        <v>254</v>
      </c>
      <c r="D244" s="109">
        <v>0</v>
      </c>
      <c r="E244" s="107">
        <v>100</v>
      </c>
      <c r="F244" s="107">
        <v>0</v>
      </c>
      <c r="G244" s="107">
        <v>100</v>
      </c>
      <c r="H244" s="107">
        <v>0</v>
      </c>
      <c r="I244" s="107">
        <v>0</v>
      </c>
      <c r="J244" s="110">
        <v>0</v>
      </c>
      <c r="K244" s="111">
        <f t="shared" si="13"/>
        <v>0</v>
      </c>
      <c r="L244" s="111">
        <f t="shared" si="15"/>
        <v>0</v>
      </c>
      <c r="M244" s="111">
        <f t="shared" si="14"/>
        <v>0</v>
      </c>
      <c r="N244" s="107">
        <v>134.1</v>
      </c>
      <c r="O244" s="107">
        <v>100</v>
      </c>
      <c r="P244" s="107">
        <v>0</v>
      </c>
      <c r="Q244" s="107">
        <v>0</v>
      </c>
      <c r="R244" s="107">
        <v>0</v>
      </c>
      <c r="S244" s="107">
        <v>0</v>
      </c>
      <c r="T244" s="107">
        <v>0</v>
      </c>
      <c r="U244" s="107">
        <v>0</v>
      </c>
      <c r="V244" s="107">
        <v>24.1</v>
      </c>
      <c r="W244" s="107">
        <v>0</v>
      </c>
      <c r="X244" s="107">
        <v>1</v>
      </c>
      <c r="Y244" s="107">
        <v>0</v>
      </c>
      <c r="Z244" s="107">
        <v>10</v>
      </c>
      <c r="AA244" s="107">
        <v>1</v>
      </c>
      <c r="AB244" s="107">
        <v>0</v>
      </c>
      <c r="AC244" s="107">
        <v>0</v>
      </c>
      <c r="AD244" s="107">
        <v>0</v>
      </c>
      <c r="AE244" s="107">
        <v>0</v>
      </c>
      <c r="AF244" s="107">
        <v>0</v>
      </c>
      <c r="AG244" s="112"/>
      <c r="AH244" s="112"/>
    </row>
    <row r="245" spans="1:34" ht="13.5" thickBot="1">
      <c r="A245" s="107">
        <v>804</v>
      </c>
      <c r="B245" s="107" t="s">
        <v>257</v>
      </c>
      <c r="C245" s="107" t="s">
        <v>256</v>
      </c>
      <c r="D245" s="109">
        <v>0</v>
      </c>
      <c r="E245" s="107">
        <v>100</v>
      </c>
      <c r="F245" s="107">
        <v>0</v>
      </c>
      <c r="G245" s="107">
        <v>97</v>
      </c>
      <c r="H245" s="107">
        <v>0</v>
      </c>
      <c r="I245" s="107">
        <v>0</v>
      </c>
      <c r="J245" s="110">
        <v>0</v>
      </c>
      <c r="K245" s="111">
        <f t="shared" si="13"/>
        <v>0</v>
      </c>
      <c r="L245" s="111">
        <f t="shared" si="15"/>
        <v>0</v>
      </c>
      <c r="M245" s="111">
        <f t="shared" si="14"/>
        <v>0</v>
      </c>
      <c r="N245" s="107">
        <v>13.2</v>
      </c>
      <c r="O245" s="107">
        <v>40</v>
      </c>
      <c r="P245" s="107">
        <v>0</v>
      </c>
      <c r="Q245" s="107">
        <v>30.71</v>
      </c>
      <c r="R245" s="107">
        <v>12.86</v>
      </c>
      <c r="S245" s="107">
        <v>0.33</v>
      </c>
      <c r="T245" s="107">
        <v>0.19</v>
      </c>
      <c r="U245" s="107">
        <v>5.69</v>
      </c>
      <c r="V245" s="107">
        <v>2.5099999999999998</v>
      </c>
      <c r="W245" s="107">
        <v>0</v>
      </c>
      <c r="X245" s="107">
        <v>0</v>
      </c>
      <c r="Y245" s="107">
        <v>0</v>
      </c>
      <c r="Z245" s="107">
        <v>26700</v>
      </c>
      <c r="AA245" s="107">
        <v>0</v>
      </c>
      <c r="AB245" s="107">
        <v>0</v>
      </c>
      <c r="AC245" s="107">
        <v>100</v>
      </c>
      <c r="AD245" s="107">
        <v>0</v>
      </c>
      <c r="AE245" s="107">
        <v>0</v>
      </c>
      <c r="AF245" s="107">
        <v>0</v>
      </c>
      <c r="AG245" s="112"/>
      <c r="AH245" s="112"/>
    </row>
    <row r="246" spans="1:34" ht="13.5" thickBot="1">
      <c r="A246" s="107">
        <v>805</v>
      </c>
      <c r="B246" s="107" t="s">
        <v>259</v>
      </c>
      <c r="C246" s="107" t="s">
        <v>258</v>
      </c>
      <c r="D246" s="109">
        <v>0</v>
      </c>
      <c r="E246" s="107">
        <v>100</v>
      </c>
      <c r="F246" s="107">
        <v>0</v>
      </c>
      <c r="G246" s="107">
        <v>100</v>
      </c>
      <c r="H246" s="107">
        <v>0</v>
      </c>
      <c r="I246" s="107">
        <v>0</v>
      </c>
      <c r="J246" s="110">
        <v>0</v>
      </c>
      <c r="K246" s="111">
        <f t="shared" si="13"/>
        <v>0</v>
      </c>
      <c r="L246" s="111">
        <f t="shared" si="15"/>
        <v>0</v>
      </c>
      <c r="M246" s="111">
        <f t="shared" si="14"/>
        <v>0</v>
      </c>
      <c r="N246" s="107">
        <v>0</v>
      </c>
      <c r="O246" s="107">
        <v>0</v>
      </c>
      <c r="P246" s="107">
        <v>0</v>
      </c>
      <c r="Q246" s="107">
        <v>39.39</v>
      </c>
      <c r="R246" s="107">
        <v>0.04</v>
      </c>
      <c r="S246" s="107">
        <v>0.05</v>
      </c>
      <c r="T246" s="107">
        <v>0.06</v>
      </c>
      <c r="U246" s="107">
        <v>0.06</v>
      </c>
      <c r="V246" s="107">
        <v>0</v>
      </c>
      <c r="W246" s="107">
        <v>0</v>
      </c>
      <c r="X246" s="107">
        <v>0</v>
      </c>
      <c r="Y246" s="107">
        <v>0</v>
      </c>
      <c r="Z246" s="107">
        <v>300</v>
      </c>
      <c r="AA246" s="107">
        <v>300</v>
      </c>
      <c r="AB246" s="107">
        <v>0</v>
      </c>
      <c r="AC246" s="107">
        <v>0</v>
      </c>
      <c r="AD246" s="107">
        <v>0</v>
      </c>
      <c r="AE246" s="107">
        <v>0</v>
      </c>
      <c r="AF246" s="107">
        <v>0</v>
      </c>
      <c r="AG246" s="112"/>
      <c r="AH246" s="112"/>
    </row>
    <row r="247" spans="1:34" ht="13.5" thickBot="1">
      <c r="A247" s="107">
        <v>806</v>
      </c>
      <c r="B247" s="107" t="s">
        <v>261</v>
      </c>
      <c r="C247" s="107" t="s">
        <v>260</v>
      </c>
      <c r="D247" s="109">
        <v>0</v>
      </c>
      <c r="E247" s="107">
        <v>100</v>
      </c>
      <c r="F247" s="107">
        <v>0</v>
      </c>
      <c r="G247" s="107">
        <v>97</v>
      </c>
      <c r="H247" s="107">
        <v>0</v>
      </c>
      <c r="I247" s="107">
        <v>0</v>
      </c>
      <c r="J247" s="110">
        <v>0</v>
      </c>
      <c r="K247" s="111">
        <f t="shared" si="13"/>
        <v>0</v>
      </c>
      <c r="L247" s="111">
        <f t="shared" si="15"/>
        <v>0</v>
      </c>
      <c r="M247" s="111">
        <f t="shared" si="14"/>
        <v>0</v>
      </c>
      <c r="N247" s="107">
        <v>0</v>
      </c>
      <c r="O247" s="107">
        <v>0</v>
      </c>
      <c r="P247" s="107">
        <v>0</v>
      </c>
      <c r="Q247" s="107">
        <v>23.28</v>
      </c>
      <c r="R247" s="107">
        <v>0</v>
      </c>
      <c r="S247" s="107">
        <v>0</v>
      </c>
      <c r="T247" s="107">
        <v>0</v>
      </c>
      <c r="U247" s="107">
        <v>0</v>
      </c>
      <c r="V247" s="107">
        <v>18.62</v>
      </c>
      <c r="W247" s="107">
        <v>0</v>
      </c>
      <c r="X247" s="107">
        <v>0</v>
      </c>
      <c r="Y247" s="107">
        <v>0</v>
      </c>
      <c r="Z247" s="107">
        <v>0</v>
      </c>
      <c r="AA247" s="107">
        <v>0</v>
      </c>
      <c r="AB247" s="107">
        <v>0</v>
      </c>
      <c r="AC247" s="107">
        <v>0</v>
      </c>
      <c r="AD247" s="107">
        <v>0</v>
      </c>
      <c r="AE247" s="107">
        <v>0</v>
      </c>
      <c r="AF247" s="107">
        <v>0</v>
      </c>
      <c r="AG247" s="112"/>
      <c r="AH247" s="112"/>
    </row>
    <row r="248" spans="1:34" ht="13.5" thickBot="1">
      <c r="A248" s="107">
        <v>807</v>
      </c>
      <c r="B248" s="107" t="s">
        <v>263</v>
      </c>
      <c r="C248" s="107" t="s">
        <v>262</v>
      </c>
      <c r="D248" s="109">
        <v>0</v>
      </c>
      <c r="E248" s="107">
        <v>100</v>
      </c>
      <c r="F248" s="107">
        <v>0</v>
      </c>
      <c r="G248" s="107">
        <v>99</v>
      </c>
      <c r="H248" s="107">
        <v>0</v>
      </c>
      <c r="I248" s="107">
        <v>0</v>
      </c>
      <c r="J248" s="110">
        <v>0</v>
      </c>
      <c r="K248" s="111">
        <f t="shared" si="13"/>
        <v>0</v>
      </c>
      <c r="L248" s="111">
        <f t="shared" si="15"/>
        <v>0</v>
      </c>
      <c r="M248" s="111">
        <f t="shared" si="14"/>
        <v>0</v>
      </c>
      <c r="N248" s="107">
        <v>0</v>
      </c>
      <c r="O248" s="107">
        <v>0</v>
      </c>
      <c r="P248" s="107">
        <v>0</v>
      </c>
      <c r="Q248" s="107">
        <v>0</v>
      </c>
      <c r="R248" s="107">
        <v>0</v>
      </c>
      <c r="S248" s="107">
        <v>0</v>
      </c>
      <c r="T248" s="107">
        <v>0</v>
      </c>
      <c r="U248" s="107">
        <v>0</v>
      </c>
      <c r="V248" s="107">
        <v>0.2</v>
      </c>
      <c r="W248" s="107">
        <v>460000</v>
      </c>
      <c r="X248" s="107">
        <v>0</v>
      </c>
      <c r="Y248" s="107">
        <v>0</v>
      </c>
      <c r="Z248" s="107">
        <v>500</v>
      </c>
      <c r="AA248" s="107">
        <v>0</v>
      </c>
      <c r="AB248" s="107">
        <v>0</v>
      </c>
      <c r="AC248" s="107">
        <v>0</v>
      </c>
      <c r="AD248" s="107">
        <v>0</v>
      </c>
      <c r="AE248" s="107">
        <v>0</v>
      </c>
      <c r="AF248" s="107">
        <v>0</v>
      </c>
      <c r="AG248" s="112"/>
      <c r="AH248" s="112"/>
    </row>
    <row r="249" spans="1:34" ht="13.5" thickBot="1">
      <c r="A249" s="107">
        <v>808</v>
      </c>
      <c r="B249" s="107" t="s">
        <v>265</v>
      </c>
      <c r="C249" s="107" t="s">
        <v>264</v>
      </c>
      <c r="D249" s="109">
        <v>0</v>
      </c>
      <c r="E249" s="107">
        <v>100</v>
      </c>
      <c r="F249" s="107">
        <v>0</v>
      </c>
      <c r="G249" s="107">
        <v>100</v>
      </c>
      <c r="H249" s="107">
        <v>0</v>
      </c>
      <c r="I249" s="107">
        <v>0</v>
      </c>
      <c r="J249" s="110">
        <v>0</v>
      </c>
      <c r="K249" s="111">
        <f t="shared" si="13"/>
        <v>0</v>
      </c>
      <c r="L249" s="111">
        <f t="shared" si="15"/>
        <v>0</v>
      </c>
      <c r="M249" s="111">
        <f t="shared" si="14"/>
        <v>0</v>
      </c>
      <c r="N249" s="107">
        <v>0</v>
      </c>
      <c r="O249" s="107">
        <v>0</v>
      </c>
      <c r="P249" s="107">
        <v>0</v>
      </c>
      <c r="Q249" s="107">
        <v>0</v>
      </c>
      <c r="R249" s="107">
        <v>0</v>
      </c>
      <c r="S249" s="107">
        <v>0</v>
      </c>
      <c r="T249" s="107">
        <v>0</v>
      </c>
      <c r="U249" s="107">
        <v>0</v>
      </c>
      <c r="V249" s="107">
        <v>12.84</v>
      </c>
      <c r="W249" s="107">
        <v>0</v>
      </c>
      <c r="X249" s="107">
        <v>254500</v>
      </c>
      <c r="Y249" s="107">
        <v>0</v>
      </c>
      <c r="Z249" s="107">
        <v>0</v>
      </c>
      <c r="AA249" s="107">
        <v>0</v>
      </c>
      <c r="AB249" s="107">
        <v>0</v>
      </c>
      <c r="AC249" s="107">
        <v>0</v>
      </c>
      <c r="AD249" s="107">
        <v>0</v>
      </c>
      <c r="AE249" s="107">
        <v>0</v>
      </c>
      <c r="AF249" s="107">
        <v>0</v>
      </c>
      <c r="AG249" s="112"/>
      <c r="AH249" s="112"/>
    </row>
    <row r="250" spans="1:34" ht="13.5" thickBot="1">
      <c r="A250" s="107">
        <v>809</v>
      </c>
      <c r="B250" s="107" t="s">
        <v>267</v>
      </c>
      <c r="C250" s="107" t="s">
        <v>266</v>
      </c>
      <c r="D250" s="109">
        <v>0</v>
      </c>
      <c r="E250" s="107">
        <v>100</v>
      </c>
      <c r="F250" s="107">
        <v>0</v>
      </c>
      <c r="G250" s="107">
        <v>97</v>
      </c>
      <c r="H250" s="107">
        <v>0</v>
      </c>
      <c r="I250" s="107">
        <v>0</v>
      </c>
      <c r="J250" s="110">
        <v>0</v>
      </c>
      <c r="K250" s="111">
        <f t="shared" si="13"/>
        <v>0</v>
      </c>
      <c r="L250" s="111">
        <f t="shared" si="15"/>
        <v>0</v>
      </c>
      <c r="M250" s="111">
        <f t="shared" si="14"/>
        <v>0</v>
      </c>
      <c r="N250" s="107">
        <v>0</v>
      </c>
      <c r="O250" s="107">
        <v>0</v>
      </c>
      <c r="P250" s="107">
        <v>0</v>
      </c>
      <c r="Q250" s="107">
        <v>22</v>
      </c>
      <c r="R250" s="107">
        <v>19.3</v>
      </c>
      <c r="S250" s="107">
        <v>0.59</v>
      </c>
      <c r="T250" s="107">
        <v>7.0000000000000007E-2</v>
      </c>
      <c r="U250" s="107">
        <v>0.05</v>
      </c>
      <c r="V250" s="107">
        <v>1.1399999999999999</v>
      </c>
      <c r="W250" s="107">
        <v>10</v>
      </c>
      <c r="X250" s="107">
        <v>10</v>
      </c>
      <c r="Y250" s="107">
        <v>0</v>
      </c>
      <c r="Z250" s="107">
        <v>14400</v>
      </c>
      <c r="AA250" s="107">
        <v>300</v>
      </c>
      <c r="AB250" s="107">
        <v>0</v>
      </c>
      <c r="AC250" s="107">
        <v>100</v>
      </c>
      <c r="AD250" s="107">
        <v>0</v>
      </c>
      <c r="AE250" s="107">
        <v>0</v>
      </c>
      <c r="AF250" s="107">
        <v>0</v>
      </c>
      <c r="AG250" s="112"/>
      <c r="AH250" s="112"/>
    </row>
    <row r="251" spans="1:34" ht="13.5" thickBot="1">
      <c r="A251" s="107">
        <v>810</v>
      </c>
      <c r="B251" s="107" t="s">
        <v>269</v>
      </c>
      <c r="C251" s="107" t="s">
        <v>268</v>
      </c>
      <c r="D251" s="109">
        <v>0</v>
      </c>
      <c r="E251" s="107">
        <v>100</v>
      </c>
      <c r="F251" s="107">
        <v>0</v>
      </c>
      <c r="G251" s="107">
        <v>98</v>
      </c>
      <c r="H251" s="107">
        <v>0</v>
      </c>
      <c r="I251" s="107">
        <v>0</v>
      </c>
      <c r="J251" s="110">
        <v>0</v>
      </c>
      <c r="K251" s="111">
        <f t="shared" si="13"/>
        <v>0</v>
      </c>
      <c r="L251" s="111">
        <f t="shared" si="15"/>
        <v>0</v>
      </c>
      <c r="M251" s="111">
        <f t="shared" si="14"/>
        <v>0</v>
      </c>
      <c r="N251" s="107">
        <v>0</v>
      </c>
      <c r="O251" s="107">
        <v>0</v>
      </c>
      <c r="P251" s="107">
        <v>0</v>
      </c>
      <c r="Q251" s="107">
        <v>0</v>
      </c>
      <c r="R251" s="107">
        <v>0</v>
      </c>
      <c r="S251" s="107">
        <v>0</v>
      </c>
      <c r="T251" s="107">
        <v>0</v>
      </c>
      <c r="U251" s="107">
        <v>0</v>
      </c>
      <c r="V251" s="107">
        <v>0</v>
      </c>
      <c r="W251" s="107">
        <v>0</v>
      </c>
      <c r="X251" s="107">
        <v>0</v>
      </c>
      <c r="Y251" s="107">
        <v>803400</v>
      </c>
      <c r="Z251" s="107">
        <v>0</v>
      </c>
      <c r="AA251" s="107">
        <v>0</v>
      </c>
      <c r="AB251" s="107">
        <v>0</v>
      </c>
      <c r="AC251" s="107">
        <v>0</v>
      </c>
      <c r="AD251" s="107">
        <v>0</v>
      </c>
      <c r="AE251" s="107">
        <v>0</v>
      </c>
      <c r="AF251" s="107">
        <v>0</v>
      </c>
      <c r="AG251" s="112"/>
      <c r="AH251" s="112"/>
    </row>
    <row r="252" spans="1:34" ht="13.5" thickBot="1">
      <c r="A252" s="107">
        <v>811</v>
      </c>
      <c r="B252" s="107" t="s">
        <v>271</v>
      </c>
      <c r="C252" s="107" t="s">
        <v>270</v>
      </c>
      <c r="D252" s="109">
        <v>0</v>
      </c>
      <c r="E252" s="107">
        <v>100</v>
      </c>
      <c r="F252" s="107">
        <v>0</v>
      </c>
      <c r="G252" s="107">
        <v>98</v>
      </c>
      <c r="H252" s="107">
        <v>0</v>
      </c>
      <c r="I252" s="107">
        <v>0</v>
      </c>
      <c r="J252" s="110">
        <v>0</v>
      </c>
      <c r="K252" s="111">
        <f t="shared" si="13"/>
        <v>0</v>
      </c>
      <c r="L252" s="111">
        <f t="shared" si="15"/>
        <v>0</v>
      </c>
      <c r="M252" s="111">
        <f t="shared" si="14"/>
        <v>0</v>
      </c>
      <c r="N252" s="107">
        <v>0</v>
      </c>
      <c r="O252" s="107">
        <v>0</v>
      </c>
      <c r="P252" s="107">
        <v>0</v>
      </c>
      <c r="Q252" s="107">
        <v>0</v>
      </c>
      <c r="R252" s="107">
        <v>0</v>
      </c>
      <c r="S252" s="107">
        <v>0</v>
      </c>
      <c r="T252" s="107">
        <v>0</v>
      </c>
      <c r="U252" s="107">
        <v>0</v>
      </c>
      <c r="V252" s="107">
        <v>12.35</v>
      </c>
      <c r="W252" s="107">
        <v>0</v>
      </c>
      <c r="X252" s="107">
        <v>0</v>
      </c>
      <c r="Y252" s="107">
        <v>0</v>
      </c>
      <c r="Z252" s="107">
        <v>218400</v>
      </c>
      <c r="AA252" s="107">
        <v>0</v>
      </c>
      <c r="AB252" s="107">
        <v>0</v>
      </c>
      <c r="AC252" s="107">
        <v>0</v>
      </c>
      <c r="AD252" s="107">
        <v>0</v>
      </c>
      <c r="AE252" s="107">
        <v>0</v>
      </c>
      <c r="AF252" s="107">
        <v>0</v>
      </c>
      <c r="AG252" s="112"/>
      <c r="AH252" s="112"/>
    </row>
    <row r="253" spans="1:34" ht="13.5" thickBot="1">
      <c r="A253" s="107">
        <v>812</v>
      </c>
      <c r="B253" s="107" t="s">
        <v>273</v>
      </c>
      <c r="C253" s="107" t="s">
        <v>272</v>
      </c>
      <c r="D253" s="109">
        <v>0</v>
      </c>
      <c r="E253" s="107">
        <v>100</v>
      </c>
      <c r="F253" s="107">
        <v>0</v>
      </c>
      <c r="G253" s="107">
        <v>100</v>
      </c>
      <c r="H253" s="107">
        <v>0</v>
      </c>
      <c r="I253" s="107">
        <v>0</v>
      </c>
      <c r="J253" s="110">
        <v>0</v>
      </c>
      <c r="K253" s="111">
        <f t="shared" si="13"/>
        <v>0</v>
      </c>
      <c r="L253" s="111">
        <f t="shared" si="15"/>
        <v>0</v>
      </c>
      <c r="M253" s="111">
        <f t="shared" si="14"/>
        <v>0</v>
      </c>
      <c r="N253" s="107">
        <v>0</v>
      </c>
      <c r="O253" s="107">
        <v>0</v>
      </c>
      <c r="P253" s="107">
        <v>0</v>
      </c>
      <c r="Q253" s="107">
        <v>34</v>
      </c>
      <c r="R253" s="107">
        <v>0.02</v>
      </c>
      <c r="S253" s="107">
        <v>2.06</v>
      </c>
      <c r="T253" s="107">
        <v>0.12</v>
      </c>
      <c r="U253" s="107">
        <v>0.06</v>
      </c>
      <c r="V253" s="107">
        <v>0.04</v>
      </c>
      <c r="W253" s="107">
        <v>0</v>
      </c>
      <c r="X253" s="107">
        <v>0</v>
      </c>
      <c r="Y253" s="107">
        <v>0</v>
      </c>
      <c r="Z253" s="107">
        <v>3500</v>
      </c>
      <c r="AA253" s="107">
        <v>0</v>
      </c>
      <c r="AB253" s="107">
        <v>0</v>
      </c>
      <c r="AC253" s="107">
        <v>0</v>
      </c>
      <c r="AD253" s="107">
        <v>0</v>
      </c>
      <c r="AE253" s="107">
        <v>0</v>
      </c>
      <c r="AF253" s="107">
        <v>0</v>
      </c>
      <c r="AG253" s="112"/>
      <c r="AH253" s="112"/>
    </row>
    <row r="254" spans="1:34" ht="13.5" thickBot="1">
      <c r="A254" s="107">
        <v>813</v>
      </c>
      <c r="B254" s="107" t="s">
        <v>275</v>
      </c>
      <c r="C254" s="107" t="s">
        <v>274</v>
      </c>
      <c r="D254" s="109">
        <v>0</v>
      </c>
      <c r="E254" s="107">
        <v>100</v>
      </c>
      <c r="F254" s="107">
        <v>0</v>
      </c>
      <c r="G254" s="107">
        <v>99</v>
      </c>
      <c r="H254" s="107">
        <v>0</v>
      </c>
      <c r="I254" s="107">
        <v>0</v>
      </c>
      <c r="J254" s="110">
        <v>0</v>
      </c>
      <c r="K254" s="111">
        <f t="shared" si="13"/>
        <v>0</v>
      </c>
      <c r="L254" s="111">
        <f t="shared" si="15"/>
        <v>0</v>
      </c>
      <c r="M254" s="111">
        <f t="shared" si="14"/>
        <v>0</v>
      </c>
      <c r="N254" s="107">
        <v>0</v>
      </c>
      <c r="O254" s="107">
        <v>0</v>
      </c>
      <c r="P254" s="107">
        <v>0</v>
      </c>
      <c r="Q254" s="107">
        <v>22.3</v>
      </c>
      <c r="R254" s="107">
        <v>0.04</v>
      </c>
      <c r="S254" s="107">
        <v>9.99</v>
      </c>
      <c r="T254" s="107">
        <v>0.36</v>
      </c>
      <c r="U254" s="107">
        <v>0</v>
      </c>
      <c r="V254" s="107">
        <v>0</v>
      </c>
      <c r="W254" s="107">
        <v>0</v>
      </c>
      <c r="X254" s="107">
        <v>0</v>
      </c>
      <c r="Y254" s="107">
        <v>0</v>
      </c>
      <c r="Z254" s="107">
        <v>770</v>
      </c>
      <c r="AA254" s="107">
        <v>0</v>
      </c>
      <c r="AB254" s="107">
        <v>0</v>
      </c>
      <c r="AC254" s="107">
        <v>0</v>
      </c>
      <c r="AD254" s="107">
        <v>0</v>
      </c>
      <c r="AE254" s="107">
        <v>0</v>
      </c>
      <c r="AF254" s="107">
        <v>0</v>
      </c>
      <c r="AG254" s="112"/>
      <c r="AH254" s="112"/>
    </row>
    <row r="255" spans="1:34" ht="13.5" thickBot="1">
      <c r="A255" s="107">
        <v>814</v>
      </c>
      <c r="B255" s="107" t="s">
        <v>277</v>
      </c>
      <c r="C255" s="107" t="s">
        <v>276</v>
      </c>
      <c r="D255" s="109">
        <v>0</v>
      </c>
      <c r="E255" s="107">
        <v>100</v>
      </c>
      <c r="F255" s="107">
        <v>0</v>
      </c>
      <c r="G255" s="107">
        <v>98</v>
      </c>
      <c r="H255" s="107">
        <v>0</v>
      </c>
      <c r="I255" s="107">
        <v>0</v>
      </c>
      <c r="J255" s="110">
        <v>0</v>
      </c>
      <c r="K255" s="111">
        <f t="shared" si="13"/>
        <v>0</v>
      </c>
      <c r="L255" s="111">
        <f t="shared" si="15"/>
        <v>0</v>
      </c>
      <c r="M255" s="111">
        <f t="shared" si="14"/>
        <v>0</v>
      </c>
      <c r="N255" s="107">
        <v>0</v>
      </c>
      <c r="O255" s="107">
        <v>0</v>
      </c>
      <c r="P255" s="107">
        <v>0</v>
      </c>
      <c r="Q255" s="107">
        <v>0.02</v>
      </c>
      <c r="R255" s="107">
        <v>0</v>
      </c>
      <c r="S255" s="107">
        <v>30.81</v>
      </c>
      <c r="T255" s="107">
        <v>0</v>
      </c>
      <c r="U255" s="107">
        <v>0</v>
      </c>
      <c r="V255" s="107">
        <v>0</v>
      </c>
      <c r="W255" s="107">
        <v>0</v>
      </c>
      <c r="X255" s="107">
        <v>0</v>
      </c>
      <c r="Y255" s="107">
        <v>0</v>
      </c>
      <c r="Z255" s="107">
        <v>220</v>
      </c>
      <c r="AA255" s="107">
        <v>0</v>
      </c>
      <c r="AB255" s="107">
        <v>0</v>
      </c>
      <c r="AC255" s="107">
        <v>0</v>
      </c>
      <c r="AD255" s="107">
        <v>0</v>
      </c>
      <c r="AE255" s="107">
        <v>0</v>
      </c>
      <c r="AF255" s="107">
        <v>0</v>
      </c>
      <c r="AG255" s="112"/>
      <c r="AH255" s="112"/>
    </row>
    <row r="256" spans="1:34" ht="13.5" thickBot="1">
      <c r="A256" s="107">
        <v>815</v>
      </c>
      <c r="B256" s="107" t="s">
        <v>279</v>
      </c>
      <c r="C256" s="107" t="s">
        <v>278</v>
      </c>
      <c r="D256" s="109">
        <v>0</v>
      </c>
      <c r="E256" s="107">
        <v>100</v>
      </c>
      <c r="F256" s="107">
        <v>0</v>
      </c>
      <c r="G256" s="107">
        <v>98</v>
      </c>
      <c r="H256" s="107">
        <v>0</v>
      </c>
      <c r="I256" s="107">
        <v>0</v>
      </c>
      <c r="J256" s="110">
        <v>0</v>
      </c>
      <c r="K256" s="111">
        <f t="shared" si="13"/>
        <v>0</v>
      </c>
      <c r="L256" s="111">
        <f t="shared" si="15"/>
        <v>0</v>
      </c>
      <c r="M256" s="111">
        <f t="shared" si="14"/>
        <v>0</v>
      </c>
      <c r="N256" s="107">
        <v>0</v>
      </c>
      <c r="O256" s="107">
        <v>0</v>
      </c>
      <c r="P256" s="107">
        <v>0</v>
      </c>
      <c r="Q256" s="107">
        <v>3.07</v>
      </c>
      <c r="R256" s="107">
        <v>0</v>
      </c>
      <c r="S256" s="107">
        <v>56.2</v>
      </c>
      <c r="T256" s="107">
        <v>0</v>
      </c>
      <c r="U256" s="107">
        <v>0</v>
      </c>
      <c r="V256" s="107">
        <v>0</v>
      </c>
      <c r="W256" s="107">
        <v>0</v>
      </c>
      <c r="X256" s="107">
        <v>0</v>
      </c>
      <c r="Y256" s="107">
        <v>0</v>
      </c>
      <c r="Z256" s="107">
        <v>0</v>
      </c>
      <c r="AA256" s="107">
        <v>100</v>
      </c>
      <c r="AB256" s="107">
        <v>0</v>
      </c>
      <c r="AC256" s="107">
        <v>0</v>
      </c>
      <c r="AD256" s="107">
        <v>0</v>
      </c>
      <c r="AE256" s="107">
        <v>0</v>
      </c>
      <c r="AF256" s="107">
        <v>0</v>
      </c>
      <c r="AG256" s="112"/>
      <c r="AH256" s="112"/>
    </row>
    <row r="257" spans="1:34" ht="13.5" thickBot="1">
      <c r="A257" s="107">
        <v>816</v>
      </c>
      <c r="B257" s="107" t="s">
        <v>281</v>
      </c>
      <c r="C257" s="107" t="s">
        <v>280</v>
      </c>
      <c r="D257" s="109">
        <v>0</v>
      </c>
      <c r="E257" s="107">
        <v>100</v>
      </c>
      <c r="F257" s="107">
        <v>0</v>
      </c>
      <c r="G257" s="107">
        <v>99</v>
      </c>
      <c r="H257" s="107">
        <v>0</v>
      </c>
      <c r="I257" s="107">
        <v>0</v>
      </c>
      <c r="J257" s="110">
        <v>0</v>
      </c>
      <c r="K257" s="111">
        <f t="shared" si="13"/>
        <v>0</v>
      </c>
      <c r="L257" s="111">
        <f t="shared" si="15"/>
        <v>0</v>
      </c>
      <c r="M257" s="111">
        <f t="shared" si="14"/>
        <v>0</v>
      </c>
      <c r="N257" s="107">
        <v>0</v>
      </c>
      <c r="O257" s="107">
        <v>0</v>
      </c>
      <c r="P257" s="107">
        <v>0</v>
      </c>
      <c r="Q257" s="107">
        <v>0</v>
      </c>
      <c r="R257" s="107">
        <v>0</v>
      </c>
      <c r="S257" s="107">
        <v>0</v>
      </c>
      <c r="T257" s="107">
        <v>0</v>
      </c>
      <c r="U257" s="107">
        <v>0</v>
      </c>
      <c r="V257" s="107">
        <v>0</v>
      </c>
      <c r="W257" s="107">
        <v>0</v>
      </c>
      <c r="X257" s="107">
        <v>0</v>
      </c>
      <c r="Y257" s="107">
        <v>0</v>
      </c>
      <c r="Z257" s="107">
        <v>0</v>
      </c>
      <c r="AA257" s="107">
        <v>774500</v>
      </c>
      <c r="AB257" s="107">
        <v>0</v>
      </c>
      <c r="AC257" s="107">
        <v>0</v>
      </c>
      <c r="AD257" s="107">
        <v>0</v>
      </c>
      <c r="AE257" s="107">
        <v>0</v>
      </c>
      <c r="AF257" s="107">
        <v>0</v>
      </c>
      <c r="AG257" s="112"/>
      <c r="AH257" s="112"/>
    </row>
    <row r="258" spans="1:34" ht="13.5" thickBot="1">
      <c r="A258" s="107">
        <v>817</v>
      </c>
      <c r="B258" s="107" t="s">
        <v>283</v>
      </c>
      <c r="C258" s="107" t="s">
        <v>282</v>
      </c>
      <c r="D258" s="109">
        <v>0</v>
      </c>
      <c r="E258" s="107">
        <v>100</v>
      </c>
      <c r="F258" s="107">
        <v>0</v>
      </c>
      <c r="G258" s="107">
        <v>97</v>
      </c>
      <c r="H258" s="107">
        <v>0</v>
      </c>
      <c r="I258" s="107">
        <v>0</v>
      </c>
      <c r="J258" s="110">
        <v>0</v>
      </c>
      <c r="K258" s="111">
        <f t="shared" si="13"/>
        <v>0</v>
      </c>
      <c r="L258" s="111">
        <f t="shared" si="15"/>
        <v>0</v>
      </c>
      <c r="M258" s="111">
        <f t="shared" si="14"/>
        <v>0</v>
      </c>
      <c r="N258" s="107">
        <v>0</v>
      </c>
      <c r="O258" s="107">
        <v>0</v>
      </c>
      <c r="P258" s="107">
        <v>0</v>
      </c>
      <c r="Q258" s="107">
        <v>0</v>
      </c>
      <c r="R258" s="107">
        <v>0</v>
      </c>
      <c r="S258" s="107">
        <v>0</v>
      </c>
      <c r="T258" s="107">
        <v>0</v>
      </c>
      <c r="U258" s="107">
        <v>0</v>
      </c>
      <c r="V258" s="107">
        <v>0</v>
      </c>
      <c r="W258" s="107">
        <v>0</v>
      </c>
      <c r="X258" s="107">
        <v>0</v>
      </c>
      <c r="Y258" s="107">
        <v>0</v>
      </c>
      <c r="Z258" s="107">
        <v>0</v>
      </c>
      <c r="AA258" s="107">
        <v>478000</v>
      </c>
      <c r="AB258" s="107">
        <v>0</v>
      </c>
      <c r="AC258" s="107">
        <v>0</v>
      </c>
      <c r="AD258" s="107">
        <v>0</v>
      </c>
      <c r="AE258" s="107">
        <v>0</v>
      </c>
      <c r="AF258" s="107">
        <v>0</v>
      </c>
      <c r="AG258" s="112"/>
      <c r="AH258" s="112"/>
    </row>
    <row r="259" spans="1:34" ht="13.5" thickBot="1">
      <c r="A259" s="107">
        <v>818</v>
      </c>
      <c r="B259" s="107" t="s">
        <v>285</v>
      </c>
      <c r="C259" s="107" t="s">
        <v>284</v>
      </c>
      <c r="D259" s="109">
        <v>0</v>
      </c>
      <c r="E259" s="107">
        <v>100</v>
      </c>
      <c r="F259" s="107">
        <v>0</v>
      </c>
      <c r="G259" s="107">
        <v>97</v>
      </c>
      <c r="H259" s="107">
        <v>0</v>
      </c>
      <c r="I259" s="107">
        <v>0</v>
      </c>
      <c r="J259" s="110">
        <v>0</v>
      </c>
      <c r="K259" s="111">
        <f t="shared" si="13"/>
        <v>0</v>
      </c>
      <c r="L259" s="111">
        <f t="shared" si="15"/>
        <v>0</v>
      </c>
      <c r="M259" s="111">
        <f t="shared" si="14"/>
        <v>0</v>
      </c>
      <c r="N259" s="107">
        <v>0</v>
      </c>
      <c r="O259" s="107">
        <v>0</v>
      </c>
      <c r="P259" s="107">
        <v>0</v>
      </c>
      <c r="Q259" s="107">
        <v>0</v>
      </c>
      <c r="R259" s="107">
        <v>22.5</v>
      </c>
      <c r="S259" s="107">
        <v>0</v>
      </c>
      <c r="T259" s="107">
        <v>0</v>
      </c>
      <c r="U259" s="107">
        <v>16.68</v>
      </c>
      <c r="V259" s="107">
        <v>0</v>
      </c>
      <c r="W259" s="107">
        <v>0</v>
      </c>
      <c r="X259" s="107">
        <v>0</v>
      </c>
      <c r="Y259" s="107">
        <v>0</v>
      </c>
      <c r="Z259" s="107">
        <v>0</v>
      </c>
      <c r="AA259" s="107">
        <v>0</v>
      </c>
      <c r="AB259" s="107">
        <v>0</v>
      </c>
      <c r="AC259" s="107">
        <v>0</v>
      </c>
      <c r="AD259" s="107">
        <v>0</v>
      </c>
      <c r="AE259" s="107">
        <v>0</v>
      </c>
      <c r="AF259" s="107">
        <v>0</v>
      </c>
      <c r="AG259" s="112"/>
      <c r="AH259" s="112"/>
    </row>
    <row r="260" spans="1:34" ht="13.5" thickBot="1">
      <c r="A260" s="107">
        <v>819</v>
      </c>
      <c r="B260" s="107" t="s">
        <v>287</v>
      </c>
      <c r="C260" s="107" t="s">
        <v>286</v>
      </c>
      <c r="D260" s="109">
        <v>0</v>
      </c>
      <c r="E260" s="107">
        <v>100</v>
      </c>
      <c r="F260" s="107">
        <v>0</v>
      </c>
      <c r="G260" s="107">
        <v>99</v>
      </c>
      <c r="H260" s="107">
        <v>0</v>
      </c>
      <c r="I260" s="107">
        <v>0</v>
      </c>
      <c r="J260" s="110">
        <v>0</v>
      </c>
      <c r="K260" s="111">
        <f t="shared" si="13"/>
        <v>0</v>
      </c>
      <c r="L260" s="111">
        <f t="shared" si="15"/>
        <v>0</v>
      </c>
      <c r="M260" s="111">
        <f t="shared" si="14"/>
        <v>0</v>
      </c>
      <c r="N260" s="107">
        <v>0</v>
      </c>
      <c r="O260" s="107">
        <v>0</v>
      </c>
      <c r="P260" s="107">
        <v>0</v>
      </c>
      <c r="Q260" s="107">
        <v>38</v>
      </c>
      <c r="R260" s="107">
        <v>7.0000000000000007E-2</v>
      </c>
      <c r="S260" s="107">
        <v>0.3</v>
      </c>
      <c r="T260" s="107">
        <v>0.1</v>
      </c>
      <c r="U260" s="107">
        <v>0.21</v>
      </c>
      <c r="V260" s="107">
        <v>0</v>
      </c>
      <c r="W260" s="107">
        <v>0</v>
      </c>
      <c r="X260" s="107">
        <v>0</v>
      </c>
      <c r="Y260" s="107">
        <v>0</v>
      </c>
      <c r="Z260" s="107">
        <v>2870</v>
      </c>
      <c r="AA260" s="107">
        <v>100</v>
      </c>
      <c r="AB260" s="107">
        <v>0</v>
      </c>
      <c r="AC260" s="107">
        <v>0</v>
      </c>
      <c r="AD260" s="107">
        <v>0</v>
      </c>
      <c r="AE260" s="107">
        <v>0</v>
      </c>
      <c r="AF260" s="107">
        <v>0</v>
      </c>
      <c r="AG260" s="112"/>
      <c r="AH260" s="112"/>
    </row>
    <row r="261" spans="1:34" ht="13.5" thickBot="1">
      <c r="A261" s="107">
        <v>820</v>
      </c>
      <c r="B261" s="107" t="s">
        <v>289</v>
      </c>
      <c r="C261" s="107" t="s">
        <v>288</v>
      </c>
      <c r="D261" s="109">
        <v>0</v>
      </c>
      <c r="E261" s="107">
        <v>100</v>
      </c>
      <c r="F261" s="107">
        <v>0</v>
      </c>
      <c r="G261" s="107">
        <v>100</v>
      </c>
      <c r="H261" s="107">
        <v>0</v>
      </c>
      <c r="I261" s="107">
        <v>0</v>
      </c>
      <c r="J261" s="110">
        <v>0</v>
      </c>
      <c r="K261" s="111">
        <f t="shared" si="13"/>
        <v>0</v>
      </c>
      <c r="L261" s="111">
        <f t="shared" si="15"/>
        <v>0</v>
      </c>
      <c r="M261" s="111">
        <f t="shared" si="14"/>
        <v>0</v>
      </c>
      <c r="N261" s="107">
        <v>0</v>
      </c>
      <c r="O261" s="107">
        <v>0</v>
      </c>
      <c r="P261" s="107">
        <v>0</v>
      </c>
      <c r="Q261" s="107">
        <v>32</v>
      </c>
      <c r="R261" s="107">
        <v>18</v>
      </c>
      <c r="S261" s="107">
        <v>0.42</v>
      </c>
      <c r="T261" s="107">
        <v>0.08</v>
      </c>
      <c r="U261" s="107">
        <v>4.9000000000000004</v>
      </c>
      <c r="V261" s="107">
        <v>0</v>
      </c>
      <c r="W261" s="107">
        <v>10</v>
      </c>
      <c r="X261" s="107">
        <v>20</v>
      </c>
      <c r="Y261" s="107">
        <v>0</v>
      </c>
      <c r="Z261" s="107">
        <v>6700</v>
      </c>
      <c r="AA261" s="107">
        <v>200</v>
      </c>
      <c r="AB261" s="107">
        <v>0</v>
      </c>
      <c r="AC261" s="107">
        <v>60</v>
      </c>
      <c r="AD261" s="107">
        <v>0</v>
      </c>
      <c r="AE261" s="107">
        <v>0</v>
      </c>
      <c r="AF261" s="107">
        <v>0</v>
      </c>
      <c r="AG261" s="112"/>
      <c r="AH261" s="112"/>
    </row>
    <row r="262" spans="1:34" ht="13.5" thickBot="1">
      <c r="A262" s="107">
        <v>821</v>
      </c>
      <c r="B262" s="122" t="s">
        <v>344</v>
      </c>
      <c r="C262" s="107" t="s">
        <v>290</v>
      </c>
      <c r="D262" s="109">
        <v>0</v>
      </c>
      <c r="E262" s="107">
        <v>100</v>
      </c>
      <c r="F262" s="107">
        <v>0</v>
      </c>
      <c r="G262" s="107">
        <v>100</v>
      </c>
      <c r="H262" s="107">
        <v>0</v>
      </c>
      <c r="I262" s="107">
        <v>0</v>
      </c>
      <c r="J262" s="110">
        <v>0</v>
      </c>
      <c r="K262" s="111">
        <f t="shared" si="13"/>
        <v>0</v>
      </c>
      <c r="L262" s="111">
        <f t="shared" si="15"/>
        <v>0</v>
      </c>
      <c r="M262" s="111">
        <f t="shared" si="14"/>
        <v>0</v>
      </c>
      <c r="N262" s="107">
        <v>0</v>
      </c>
      <c r="O262" s="107">
        <v>0</v>
      </c>
      <c r="P262" s="107">
        <v>0</v>
      </c>
      <c r="Q262" s="107">
        <v>35</v>
      </c>
      <c r="R262" s="107">
        <v>13</v>
      </c>
      <c r="S262" s="107">
        <v>0.41</v>
      </c>
      <c r="T262" s="107">
        <v>0.06</v>
      </c>
      <c r="U262" s="107">
        <v>0.03</v>
      </c>
      <c r="V262" s="107">
        <v>0</v>
      </c>
      <c r="W262" s="107">
        <v>10</v>
      </c>
      <c r="X262" s="107">
        <v>10</v>
      </c>
      <c r="Y262" s="107">
        <v>0</v>
      </c>
      <c r="Z262" s="107">
        <v>16800</v>
      </c>
      <c r="AA262" s="107">
        <v>200</v>
      </c>
      <c r="AB262" s="107">
        <v>0</v>
      </c>
      <c r="AC262" s="107">
        <v>100</v>
      </c>
      <c r="AD262" s="107">
        <v>0</v>
      </c>
      <c r="AE262" s="107">
        <v>0</v>
      </c>
      <c r="AF262" s="107">
        <v>0</v>
      </c>
      <c r="AG262" s="112"/>
      <c r="AH262" s="112"/>
    </row>
    <row r="263" spans="1:34" ht="13.5" thickBot="1">
      <c r="A263" s="107">
        <v>822</v>
      </c>
      <c r="B263" s="122" t="s">
        <v>345</v>
      </c>
      <c r="C263" s="107" t="s">
        <v>291</v>
      </c>
      <c r="D263" s="109">
        <v>0</v>
      </c>
      <c r="E263" s="107">
        <v>100</v>
      </c>
      <c r="F263" s="107">
        <v>0</v>
      </c>
      <c r="G263" s="107">
        <v>100</v>
      </c>
      <c r="H263" s="107">
        <v>0</v>
      </c>
      <c r="I263" s="107">
        <v>0</v>
      </c>
      <c r="J263" s="110">
        <v>0</v>
      </c>
      <c r="K263" s="111">
        <f t="shared" si="13"/>
        <v>0</v>
      </c>
      <c r="L263" s="111">
        <f t="shared" si="15"/>
        <v>0</v>
      </c>
      <c r="M263" s="111">
        <f t="shared" si="14"/>
        <v>0</v>
      </c>
      <c r="N263" s="107">
        <v>0</v>
      </c>
      <c r="O263" s="107">
        <v>0</v>
      </c>
      <c r="P263" s="107">
        <v>0</v>
      </c>
      <c r="Q263" s="107">
        <v>36</v>
      </c>
      <c r="R263" s="107">
        <v>14</v>
      </c>
      <c r="S263" s="107">
        <v>0</v>
      </c>
      <c r="T263" s="107">
        <v>0</v>
      </c>
      <c r="U263" s="107">
        <v>0</v>
      </c>
      <c r="V263" s="107">
        <v>0</v>
      </c>
      <c r="W263" s="107">
        <v>0</v>
      </c>
      <c r="X263" s="107">
        <v>0</v>
      </c>
      <c r="Y263" s="107">
        <v>0</v>
      </c>
      <c r="Z263" s="107">
        <v>0</v>
      </c>
      <c r="AA263" s="107">
        <v>0</v>
      </c>
      <c r="AB263" s="107">
        <v>0</v>
      </c>
      <c r="AC263" s="107">
        <v>0</v>
      </c>
      <c r="AD263" s="107">
        <v>0</v>
      </c>
      <c r="AE263" s="107">
        <v>0</v>
      </c>
      <c r="AF263" s="107">
        <v>0</v>
      </c>
      <c r="AG263" s="112"/>
      <c r="AH263" s="112"/>
    </row>
    <row r="264" spans="1:34" ht="13.5" thickBot="1">
      <c r="A264" s="107">
        <v>823</v>
      </c>
      <c r="B264" s="122" t="s">
        <v>346</v>
      </c>
      <c r="C264" s="107" t="s">
        <v>292</v>
      </c>
      <c r="D264" s="109">
        <v>0</v>
      </c>
      <c r="E264" s="107">
        <v>100</v>
      </c>
      <c r="F264" s="107">
        <v>0</v>
      </c>
      <c r="G264" s="107">
        <v>100</v>
      </c>
      <c r="H264" s="107">
        <v>0</v>
      </c>
      <c r="I264" s="107">
        <v>0</v>
      </c>
      <c r="J264" s="110">
        <v>0</v>
      </c>
      <c r="K264" s="111">
        <f t="shared" si="13"/>
        <v>0</v>
      </c>
      <c r="L264" s="111">
        <f t="shared" si="15"/>
        <v>0</v>
      </c>
      <c r="M264" s="111">
        <f t="shared" si="14"/>
        <v>0</v>
      </c>
      <c r="N264" s="107">
        <v>0</v>
      </c>
      <c r="O264" s="107">
        <v>0</v>
      </c>
      <c r="P264" s="107">
        <v>0</v>
      </c>
      <c r="Q264" s="107">
        <v>17</v>
      </c>
      <c r="R264" s="107">
        <v>9</v>
      </c>
      <c r="S264" s="107">
        <v>0.38</v>
      </c>
      <c r="T264" s="107">
        <v>0</v>
      </c>
      <c r="U264" s="107">
        <v>0.1</v>
      </c>
      <c r="V264" s="107">
        <v>0</v>
      </c>
      <c r="W264" s="107">
        <v>0</v>
      </c>
      <c r="X264" s="107">
        <v>0</v>
      </c>
      <c r="Y264" s="107">
        <v>0</v>
      </c>
      <c r="Z264" s="107">
        <v>19000</v>
      </c>
      <c r="AA264" s="107">
        <v>1000</v>
      </c>
      <c r="AB264" s="107">
        <v>0</v>
      </c>
      <c r="AC264" s="107">
        <v>0</v>
      </c>
      <c r="AD264" s="107">
        <v>0</v>
      </c>
      <c r="AE264" s="107">
        <v>0</v>
      </c>
      <c r="AF264" s="107">
        <v>0</v>
      </c>
      <c r="AG264" s="112"/>
      <c r="AH264" s="112"/>
    </row>
    <row r="265" spans="1:34" ht="13.5" thickBot="1">
      <c r="A265" s="107">
        <v>824</v>
      </c>
      <c r="B265" s="122" t="s">
        <v>347</v>
      </c>
      <c r="C265" s="107" t="s">
        <v>284</v>
      </c>
      <c r="D265" s="109">
        <v>0</v>
      </c>
      <c r="E265" s="107">
        <v>100</v>
      </c>
      <c r="F265" s="107">
        <v>0</v>
      </c>
      <c r="G265" s="107">
        <v>97</v>
      </c>
      <c r="H265" s="107">
        <v>0</v>
      </c>
      <c r="I265" s="107">
        <v>0</v>
      </c>
      <c r="J265" s="110">
        <v>0</v>
      </c>
      <c r="K265" s="111">
        <f t="shared" si="13"/>
        <v>0</v>
      </c>
      <c r="L265" s="111">
        <f t="shared" si="15"/>
        <v>0</v>
      </c>
      <c r="M265" s="111">
        <f t="shared" si="14"/>
        <v>0</v>
      </c>
      <c r="N265" s="107">
        <v>0</v>
      </c>
      <c r="O265" s="107">
        <v>0</v>
      </c>
      <c r="P265" s="107">
        <v>0</v>
      </c>
      <c r="Q265" s="107">
        <v>0</v>
      </c>
      <c r="R265" s="107">
        <v>22.5</v>
      </c>
      <c r="S265" s="107">
        <v>0</v>
      </c>
      <c r="T265" s="107">
        <v>0</v>
      </c>
      <c r="U265" s="107">
        <v>16.68</v>
      </c>
      <c r="V265" s="107">
        <v>0</v>
      </c>
      <c r="W265" s="107">
        <v>0</v>
      </c>
      <c r="X265" s="107">
        <v>0</v>
      </c>
      <c r="Y265" s="107">
        <v>0</v>
      </c>
      <c r="Z265" s="107">
        <v>0</v>
      </c>
      <c r="AA265" s="107">
        <v>0</v>
      </c>
      <c r="AB265" s="107">
        <v>0</v>
      </c>
      <c r="AC265" s="107">
        <v>0</v>
      </c>
      <c r="AD265" s="107">
        <v>0</v>
      </c>
      <c r="AE265" s="107">
        <v>0</v>
      </c>
      <c r="AF265" s="107">
        <v>0</v>
      </c>
      <c r="AG265" s="112"/>
      <c r="AH265" s="112"/>
    </row>
    <row r="266" spans="1:34" ht="13.5" thickBot="1">
      <c r="A266" s="107">
        <v>825</v>
      </c>
      <c r="B266" s="122" t="s">
        <v>348</v>
      </c>
      <c r="C266" s="107" t="s">
        <v>293</v>
      </c>
      <c r="D266" s="109">
        <v>0</v>
      </c>
      <c r="E266" s="107">
        <v>100</v>
      </c>
      <c r="F266" s="107">
        <v>0</v>
      </c>
      <c r="G266" s="107">
        <v>75</v>
      </c>
      <c r="H266" s="107">
        <v>0</v>
      </c>
      <c r="I266" s="107">
        <v>0</v>
      </c>
      <c r="J266" s="110">
        <v>0</v>
      </c>
      <c r="K266" s="111">
        <f t="shared" si="13"/>
        <v>0</v>
      </c>
      <c r="L266" s="111">
        <f t="shared" si="15"/>
        <v>0</v>
      </c>
      <c r="M266" s="111">
        <f t="shared" si="14"/>
        <v>0</v>
      </c>
      <c r="N266" s="107">
        <v>0</v>
      </c>
      <c r="O266" s="107">
        <v>0</v>
      </c>
      <c r="P266" s="107">
        <v>0</v>
      </c>
      <c r="Q266" s="107">
        <v>0.05</v>
      </c>
      <c r="R266" s="107">
        <v>31.6</v>
      </c>
      <c r="S266" s="107">
        <v>0.51</v>
      </c>
      <c r="T266" s="107">
        <v>0.02</v>
      </c>
      <c r="U266" s="107">
        <v>0.04</v>
      </c>
      <c r="V266" s="107">
        <v>1.55</v>
      </c>
      <c r="W266" s="107">
        <v>10</v>
      </c>
      <c r="X266" s="107">
        <v>10</v>
      </c>
      <c r="Y266" s="107">
        <v>0</v>
      </c>
      <c r="Z266" s="107">
        <v>17500</v>
      </c>
      <c r="AA266" s="107">
        <v>500</v>
      </c>
      <c r="AB266" s="107">
        <v>0</v>
      </c>
      <c r="AC266" s="107">
        <v>130</v>
      </c>
      <c r="AD266" s="107">
        <v>0</v>
      </c>
      <c r="AE266" s="107">
        <v>0</v>
      </c>
      <c r="AF266" s="107">
        <v>0</v>
      </c>
      <c r="AG266" s="112"/>
      <c r="AH266" s="112"/>
    </row>
    <row r="267" spans="1:34" ht="13.5" thickBot="1">
      <c r="A267" s="107">
        <v>826</v>
      </c>
      <c r="B267" s="122" t="s">
        <v>349</v>
      </c>
      <c r="C267" s="107" t="s">
        <v>294</v>
      </c>
      <c r="D267" s="109">
        <v>0</v>
      </c>
      <c r="E267" s="107">
        <v>100</v>
      </c>
      <c r="F267" s="107">
        <v>0</v>
      </c>
      <c r="G267" s="107">
        <v>99</v>
      </c>
      <c r="H267" s="107">
        <v>0</v>
      </c>
      <c r="I267" s="107">
        <v>0</v>
      </c>
      <c r="J267" s="110">
        <v>0</v>
      </c>
      <c r="K267" s="111">
        <f t="shared" si="13"/>
        <v>0</v>
      </c>
      <c r="L267" s="111">
        <f t="shared" si="15"/>
        <v>0</v>
      </c>
      <c r="M267" s="111">
        <f t="shared" si="14"/>
        <v>0</v>
      </c>
      <c r="N267" s="107">
        <v>0</v>
      </c>
      <c r="O267" s="107">
        <v>0</v>
      </c>
      <c r="P267" s="107">
        <v>0</v>
      </c>
      <c r="Q267" s="107">
        <v>0</v>
      </c>
      <c r="R267" s="107">
        <v>0</v>
      </c>
      <c r="S267" s="107">
        <v>0</v>
      </c>
      <c r="T267" s="107">
        <v>39.049999999999997</v>
      </c>
      <c r="U267" s="107">
        <v>0</v>
      </c>
      <c r="V267" s="107">
        <v>0</v>
      </c>
      <c r="W267" s="107">
        <v>0</v>
      </c>
      <c r="X267" s="107">
        <v>0</v>
      </c>
      <c r="Y267" s="107">
        <v>0</v>
      </c>
      <c r="Z267" s="107">
        <v>0</v>
      </c>
      <c r="AA267" s="107">
        <v>0</v>
      </c>
      <c r="AB267" s="107">
        <v>0</v>
      </c>
      <c r="AC267" s="107">
        <v>0</v>
      </c>
      <c r="AD267" s="107">
        <v>0</v>
      </c>
      <c r="AE267" s="107">
        <v>0</v>
      </c>
      <c r="AF267" s="107">
        <v>0</v>
      </c>
      <c r="AG267" s="112"/>
      <c r="AH267" s="112"/>
    </row>
    <row r="268" spans="1:34" ht="13.5" thickBot="1">
      <c r="A268" s="107">
        <v>827</v>
      </c>
      <c r="B268" s="122" t="s">
        <v>350</v>
      </c>
      <c r="C268" s="107" t="s">
        <v>295</v>
      </c>
      <c r="D268" s="109">
        <v>0</v>
      </c>
      <c r="E268" s="107">
        <v>100</v>
      </c>
      <c r="F268" s="107">
        <v>0</v>
      </c>
      <c r="G268" s="107">
        <v>100</v>
      </c>
      <c r="H268" s="107">
        <v>0</v>
      </c>
      <c r="I268" s="107">
        <v>0</v>
      </c>
      <c r="J268" s="110">
        <v>0</v>
      </c>
      <c r="K268" s="111">
        <f t="shared" si="13"/>
        <v>0</v>
      </c>
      <c r="L268" s="111">
        <f t="shared" si="15"/>
        <v>0</v>
      </c>
      <c r="M268" s="111">
        <f t="shared" si="14"/>
        <v>0</v>
      </c>
      <c r="N268" s="107">
        <v>0</v>
      </c>
      <c r="O268" s="107">
        <v>0</v>
      </c>
      <c r="P268" s="107">
        <v>0</v>
      </c>
      <c r="Q268" s="107">
        <v>0</v>
      </c>
      <c r="R268" s="107">
        <v>0</v>
      </c>
      <c r="S268" s="107">
        <v>0</v>
      </c>
      <c r="T268" s="107">
        <v>21</v>
      </c>
      <c r="U268" s="107">
        <v>0</v>
      </c>
      <c r="V268" s="107">
        <v>0</v>
      </c>
      <c r="W268" s="107">
        <v>0</v>
      </c>
      <c r="X268" s="107">
        <v>0</v>
      </c>
      <c r="Y268" s="107">
        <v>681700</v>
      </c>
      <c r="Z268" s="107">
        <v>0</v>
      </c>
      <c r="AA268" s="107">
        <v>0</v>
      </c>
      <c r="AB268" s="107">
        <v>0</v>
      </c>
      <c r="AC268" s="107">
        <v>0</v>
      </c>
      <c r="AD268" s="107">
        <v>0</v>
      </c>
      <c r="AE268" s="107">
        <v>0</v>
      </c>
      <c r="AF268" s="107">
        <v>0</v>
      </c>
      <c r="AG268" s="112"/>
      <c r="AH268" s="112"/>
    </row>
    <row r="269" spans="1:34" ht="13.5" thickBot="1">
      <c r="A269" s="107">
        <v>828</v>
      </c>
      <c r="B269" s="122" t="s">
        <v>351</v>
      </c>
      <c r="C269" s="107" t="s">
        <v>296</v>
      </c>
      <c r="D269" s="109">
        <v>0</v>
      </c>
      <c r="E269" s="107">
        <v>100</v>
      </c>
      <c r="F269" s="107">
        <v>0</v>
      </c>
      <c r="G269" s="107">
        <v>98</v>
      </c>
      <c r="H269" s="107">
        <v>0</v>
      </c>
      <c r="I269" s="107">
        <v>0</v>
      </c>
      <c r="J269" s="110">
        <v>0</v>
      </c>
      <c r="K269" s="111">
        <f t="shared" si="13"/>
        <v>0</v>
      </c>
      <c r="L269" s="111">
        <f t="shared" si="15"/>
        <v>0</v>
      </c>
      <c r="M269" s="111">
        <f t="shared" si="14"/>
        <v>0</v>
      </c>
      <c r="N269" s="107">
        <v>0</v>
      </c>
      <c r="O269" s="107">
        <v>0</v>
      </c>
      <c r="P269" s="107">
        <v>0</v>
      </c>
      <c r="Q269" s="107">
        <v>0.15</v>
      </c>
      <c r="R269" s="107">
        <v>0</v>
      </c>
      <c r="S269" s="107">
        <v>0.61</v>
      </c>
      <c r="T269" s="107">
        <v>41.84</v>
      </c>
      <c r="U269" s="107">
        <v>0.09</v>
      </c>
      <c r="V269" s="107">
        <v>17.350000000000001</v>
      </c>
      <c r="W269" s="107">
        <v>0</v>
      </c>
      <c r="X269" s="107">
        <v>0</v>
      </c>
      <c r="Y269" s="107">
        <v>0</v>
      </c>
      <c r="Z269" s="107">
        <v>710</v>
      </c>
      <c r="AA269" s="107">
        <v>10</v>
      </c>
      <c r="AB269" s="107">
        <v>0</v>
      </c>
      <c r="AC269" s="107">
        <v>0</v>
      </c>
      <c r="AD269" s="107">
        <v>0</v>
      </c>
      <c r="AE269" s="107">
        <v>0</v>
      </c>
      <c r="AF269" s="107">
        <v>0</v>
      </c>
      <c r="AG269" s="112"/>
      <c r="AH269" s="112"/>
    </row>
    <row r="270" spans="1:34" ht="13.5" thickBot="1">
      <c r="A270" s="107">
        <v>829</v>
      </c>
      <c r="B270" s="122" t="s">
        <v>297</v>
      </c>
      <c r="C270" s="107" t="s">
        <v>298</v>
      </c>
      <c r="D270" s="109">
        <v>0</v>
      </c>
      <c r="E270" s="107">
        <v>100</v>
      </c>
      <c r="F270" s="107">
        <v>0</v>
      </c>
      <c r="G270" s="107">
        <v>100</v>
      </c>
      <c r="H270" s="107">
        <v>0</v>
      </c>
      <c r="I270" s="107">
        <v>0</v>
      </c>
      <c r="J270" s="110">
        <v>0</v>
      </c>
      <c r="K270" s="111">
        <f t="shared" si="13"/>
        <v>0</v>
      </c>
      <c r="L270" s="111">
        <f t="shared" si="15"/>
        <v>0</v>
      </c>
      <c r="M270" s="111">
        <f t="shared" si="14"/>
        <v>0</v>
      </c>
      <c r="N270" s="107">
        <v>0</v>
      </c>
      <c r="O270" s="107">
        <v>0</v>
      </c>
      <c r="P270" s="107">
        <v>0</v>
      </c>
      <c r="Q270" s="107">
        <v>0</v>
      </c>
      <c r="R270" s="107">
        <v>0</v>
      </c>
      <c r="S270" s="107">
        <v>0</v>
      </c>
      <c r="T270" s="107">
        <v>0</v>
      </c>
      <c r="U270" s="107">
        <v>39.340000000000003</v>
      </c>
      <c r="V270" s="107">
        <v>0</v>
      </c>
      <c r="W270" s="107">
        <v>0</v>
      </c>
      <c r="X270" s="107">
        <v>0</v>
      </c>
      <c r="Y270" s="107">
        <v>0</v>
      </c>
      <c r="Z270" s="107">
        <v>0</v>
      </c>
      <c r="AA270" s="107">
        <v>0</v>
      </c>
      <c r="AB270" s="107">
        <v>0</v>
      </c>
      <c r="AC270" s="107">
        <v>0</v>
      </c>
      <c r="AD270" s="107">
        <v>0</v>
      </c>
      <c r="AE270" s="107">
        <v>0</v>
      </c>
      <c r="AF270" s="107">
        <v>0</v>
      </c>
      <c r="AG270" s="112"/>
      <c r="AH270" s="112"/>
    </row>
    <row r="271" spans="1:34" ht="13.5" thickBot="1">
      <c r="A271" s="107">
        <v>830</v>
      </c>
      <c r="B271" s="122" t="s">
        <v>352</v>
      </c>
      <c r="C271" s="107" t="s">
        <v>299</v>
      </c>
      <c r="D271" s="109">
        <v>0</v>
      </c>
      <c r="E271" s="107">
        <v>100</v>
      </c>
      <c r="F271" s="107">
        <v>0</v>
      </c>
      <c r="G271" s="107">
        <v>100</v>
      </c>
      <c r="H271" s="107">
        <v>0</v>
      </c>
      <c r="I271" s="107">
        <v>0</v>
      </c>
      <c r="J271" s="110">
        <v>0</v>
      </c>
      <c r="K271" s="111">
        <f t="shared" si="13"/>
        <v>0</v>
      </c>
      <c r="L271" s="111">
        <f t="shared" si="15"/>
        <v>0</v>
      </c>
      <c r="M271" s="111">
        <f t="shared" si="14"/>
        <v>0</v>
      </c>
      <c r="N271" s="107">
        <v>0</v>
      </c>
      <c r="O271" s="107">
        <v>0</v>
      </c>
      <c r="P271" s="107">
        <v>0</v>
      </c>
      <c r="Q271" s="107">
        <v>0</v>
      </c>
      <c r="R271" s="107">
        <v>0</v>
      </c>
      <c r="S271" s="107">
        <v>0</v>
      </c>
      <c r="T271" s="107">
        <v>0</v>
      </c>
      <c r="U271" s="107">
        <v>27</v>
      </c>
      <c r="V271" s="107">
        <v>0</v>
      </c>
      <c r="W271" s="107">
        <v>0</v>
      </c>
      <c r="X271" s="107">
        <v>0</v>
      </c>
      <c r="Y271" s="107">
        <v>0</v>
      </c>
      <c r="Z271" s="107">
        <v>0</v>
      </c>
      <c r="AA271" s="107">
        <v>0</v>
      </c>
      <c r="AB271" s="107">
        <v>0</v>
      </c>
      <c r="AC271" s="107">
        <v>0</v>
      </c>
      <c r="AD271" s="107">
        <v>0</v>
      </c>
      <c r="AE271" s="107">
        <v>0</v>
      </c>
      <c r="AF271" s="107">
        <v>0</v>
      </c>
      <c r="AG271" s="112"/>
      <c r="AH271" s="112"/>
    </row>
    <row r="272" spans="1:34" ht="13.5" thickBot="1">
      <c r="A272" s="107">
        <v>831</v>
      </c>
      <c r="B272" s="122" t="s">
        <v>353</v>
      </c>
      <c r="C272" s="107" t="s">
        <v>300</v>
      </c>
      <c r="D272" s="109">
        <v>0</v>
      </c>
      <c r="E272" s="107">
        <v>100</v>
      </c>
      <c r="F272" s="107">
        <v>0</v>
      </c>
      <c r="G272" s="107">
        <v>98</v>
      </c>
      <c r="H272" s="107">
        <v>0</v>
      </c>
      <c r="I272" s="107">
        <v>0</v>
      </c>
      <c r="J272" s="110">
        <v>0</v>
      </c>
      <c r="K272" s="111">
        <f t="shared" si="13"/>
        <v>0</v>
      </c>
      <c r="L272" s="111">
        <f t="shared" si="15"/>
        <v>0</v>
      </c>
      <c r="M272" s="111">
        <f t="shared" si="14"/>
        <v>0</v>
      </c>
      <c r="N272" s="107">
        <v>0</v>
      </c>
      <c r="O272" s="107">
        <v>0</v>
      </c>
      <c r="P272" s="107">
        <v>0</v>
      </c>
      <c r="Q272" s="107">
        <v>0</v>
      </c>
      <c r="R272" s="107">
        <v>0</v>
      </c>
      <c r="S272" s="107">
        <v>0</v>
      </c>
      <c r="T272" s="107">
        <v>0</v>
      </c>
      <c r="U272" s="107">
        <v>26.6</v>
      </c>
      <c r="V272" s="107">
        <v>0</v>
      </c>
      <c r="W272" s="107">
        <v>0</v>
      </c>
      <c r="X272" s="107">
        <v>0</v>
      </c>
      <c r="Y272" s="107">
        <v>0</v>
      </c>
      <c r="Z272" s="107">
        <v>0</v>
      </c>
      <c r="AA272" s="107">
        <v>0</v>
      </c>
      <c r="AB272" s="107">
        <v>456000</v>
      </c>
      <c r="AC272" s="107">
        <v>0</v>
      </c>
      <c r="AD272" s="107">
        <v>0</v>
      </c>
      <c r="AE272" s="107">
        <v>0</v>
      </c>
      <c r="AF272" s="107">
        <v>0</v>
      </c>
      <c r="AG272" s="112"/>
      <c r="AH272" s="112"/>
    </row>
    <row r="273" spans="1:34" ht="13.5" thickBot="1">
      <c r="A273" s="107">
        <v>832</v>
      </c>
      <c r="B273" s="122" t="s">
        <v>354</v>
      </c>
      <c r="C273" s="107" t="s">
        <v>301</v>
      </c>
      <c r="D273" s="109">
        <v>0</v>
      </c>
      <c r="E273" s="107">
        <v>100</v>
      </c>
      <c r="F273" s="107">
        <v>0</v>
      </c>
      <c r="G273" s="107">
        <v>97</v>
      </c>
      <c r="H273" s="107">
        <v>0</v>
      </c>
      <c r="I273" s="107">
        <v>0</v>
      </c>
      <c r="J273" s="110">
        <v>0</v>
      </c>
      <c r="K273" s="111">
        <f t="shared" ref="K273:K289" si="16">(J273*0.01*4.409*0.82)/2.2</f>
        <v>0</v>
      </c>
      <c r="L273" s="111">
        <f t="shared" si="15"/>
        <v>0</v>
      </c>
      <c r="M273" s="111">
        <f t="shared" ref="M273:M289" si="17">IF(J273=0,0,(1.42*(J273*0.01*4.409*0.82)-0.174*(J273*0.01*4.409*0.82)^2+0.0122*(J273*0.01*4.409*0.82)^3-1.65)/2.2)</f>
        <v>0</v>
      </c>
      <c r="N273" s="107">
        <v>0</v>
      </c>
      <c r="O273" s="107">
        <v>0</v>
      </c>
      <c r="P273" s="107">
        <v>0</v>
      </c>
      <c r="Q273" s="107">
        <v>0</v>
      </c>
      <c r="R273" s="107">
        <v>0</v>
      </c>
      <c r="S273" s="107">
        <v>0</v>
      </c>
      <c r="T273" s="107">
        <v>0</v>
      </c>
      <c r="U273" s="107">
        <v>14.27</v>
      </c>
      <c r="V273" s="107">
        <v>9.9499999999999993</v>
      </c>
      <c r="W273" s="107">
        <v>0</v>
      </c>
      <c r="X273" s="107">
        <v>0</v>
      </c>
      <c r="Y273" s="107">
        <v>0</v>
      </c>
      <c r="Z273" s="107">
        <v>0</v>
      </c>
      <c r="AA273" s="107">
        <v>0</v>
      </c>
      <c r="AB273" s="107">
        <v>0</v>
      </c>
      <c r="AC273" s="107">
        <v>0</v>
      </c>
      <c r="AD273" s="107">
        <v>0</v>
      </c>
      <c r="AE273" s="107">
        <v>0</v>
      </c>
      <c r="AF273" s="107">
        <v>0</v>
      </c>
      <c r="AG273" s="112"/>
      <c r="AH273" s="112"/>
    </row>
    <row r="274" spans="1:34" ht="13.5" thickBot="1">
      <c r="A274" s="107">
        <v>833</v>
      </c>
      <c r="B274" s="122" t="s">
        <v>355</v>
      </c>
      <c r="C274" s="107" t="s">
        <v>302</v>
      </c>
      <c r="D274" s="109">
        <v>0</v>
      </c>
      <c r="E274" s="107">
        <v>100</v>
      </c>
      <c r="F274" s="107">
        <v>0</v>
      </c>
      <c r="G274" s="107">
        <v>100</v>
      </c>
      <c r="H274" s="107">
        <v>0</v>
      </c>
      <c r="I274" s="107">
        <v>0</v>
      </c>
      <c r="J274" s="110">
        <v>0</v>
      </c>
      <c r="K274" s="111">
        <f t="shared" si="16"/>
        <v>0</v>
      </c>
      <c r="L274" s="111">
        <f t="shared" si="15"/>
        <v>0</v>
      </c>
      <c r="M274" s="111">
        <f t="shared" si="17"/>
        <v>0</v>
      </c>
      <c r="N274" s="107">
        <v>0</v>
      </c>
      <c r="O274" s="107">
        <v>0</v>
      </c>
      <c r="P274" s="107">
        <v>0</v>
      </c>
      <c r="Q274" s="107">
        <v>0</v>
      </c>
      <c r="R274" s="107">
        <v>0</v>
      </c>
      <c r="S274" s="107">
        <v>0</v>
      </c>
      <c r="T274" s="107">
        <v>0</v>
      </c>
      <c r="U274" s="107">
        <v>0</v>
      </c>
      <c r="V274" s="107">
        <v>0</v>
      </c>
      <c r="W274" s="107">
        <v>0</v>
      </c>
      <c r="X274" s="107">
        <v>0</v>
      </c>
      <c r="Y274" s="107">
        <v>0</v>
      </c>
      <c r="Z274" s="107">
        <v>0</v>
      </c>
      <c r="AA274" s="107">
        <v>0</v>
      </c>
      <c r="AB274" s="107">
        <v>0</v>
      </c>
      <c r="AC274" s="107">
        <v>780000</v>
      </c>
      <c r="AD274" s="107">
        <v>0</v>
      </c>
      <c r="AE274" s="107">
        <v>0</v>
      </c>
      <c r="AF274" s="107">
        <v>0</v>
      </c>
      <c r="AG274" s="112"/>
      <c r="AH274" s="112"/>
    </row>
    <row r="275" spans="1:34" ht="13.5" thickBot="1">
      <c r="A275" s="107">
        <v>834</v>
      </c>
      <c r="B275" s="122" t="s">
        <v>356</v>
      </c>
      <c r="C275" s="107" t="s">
        <v>303</v>
      </c>
      <c r="D275" s="109">
        <v>0</v>
      </c>
      <c r="E275" s="107">
        <v>100</v>
      </c>
      <c r="F275" s="107">
        <v>0</v>
      </c>
      <c r="G275" s="107">
        <v>99</v>
      </c>
      <c r="H275" s="107">
        <v>0</v>
      </c>
      <c r="I275" s="107">
        <v>0</v>
      </c>
      <c r="J275" s="110">
        <v>0</v>
      </c>
      <c r="K275" s="111">
        <f t="shared" si="16"/>
        <v>0</v>
      </c>
      <c r="L275" s="111">
        <f t="shared" si="15"/>
        <v>0</v>
      </c>
      <c r="M275" s="111">
        <f t="shared" si="17"/>
        <v>0</v>
      </c>
      <c r="N275" s="107">
        <v>0</v>
      </c>
      <c r="O275" s="107">
        <v>0</v>
      </c>
      <c r="P275" s="107">
        <v>0</v>
      </c>
      <c r="Q275" s="107">
        <v>0.02</v>
      </c>
      <c r="R275" s="107">
        <v>0</v>
      </c>
      <c r="S275" s="107">
        <v>0</v>
      </c>
      <c r="T275" s="107">
        <v>0</v>
      </c>
      <c r="U275" s="107">
        <v>0</v>
      </c>
      <c r="V275" s="107">
        <v>17.68</v>
      </c>
      <c r="W275" s="107">
        <v>0</v>
      </c>
      <c r="X275" s="107">
        <v>0</v>
      </c>
      <c r="Y275" s="107">
        <v>0</v>
      </c>
      <c r="Z275" s="107">
        <v>10</v>
      </c>
      <c r="AA275" s="107">
        <v>10</v>
      </c>
      <c r="AB275" s="107">
        <v>0</v>
      </c>
      <c r="AC275" s="107">
        <v>363600</v>
      </c>
      <c r="AD275" s="107">
        <v>0</v>
      </c>
      <c r="AE275" s="107">
        <v>0</v>
      </c>
      <c r="AF275" s="107">
        <v>0</v>
      </c>
      <c r="AG275" s="112"/>
      <c r="AH275" s="112"/>
    </row>
    <row r="276" spans="1:34" ht="13.5" thickBot="1">
      <c r="A276" s="107">
        <v>835</v>
      </c>
      <c r="B276" s="122" t="s">
        <v>357</v>
      </c>
      <c r="C276" s="107" t="s">
        <v>304</v>
      </c>
      <c r="D276" s="109">
        <v>0</v>
      </c>
      <c r="E276" s="107">
        <v>100</v>
      </c>
      <c r="F276" s="107">
        <v>0</v>
      </c>
      <c r="G276" s="107">
        <v>100</v>
      </c>
      <c r="H276" s="107">
        <v>0</v>
      </c>
      <c r="I276" s="107">
        <v>0</v>
      </c>
      <c r="J276" s="110">
        <v>0</v>
      </c>
      <c r="K276" s="111">
        <f t="shared" si="16"/>
        <v>0</v>
      </c>
      <c r="L276" s="111">
        <f t="shared" si="15"/>
        <v>0</v>
      </c>
      <c r="M276" s="111">
        <f t="shared" si="17"/>
        <v>0</v>
      </c>
      <c r="N276" s="107">
        <v>0</v>
      </c>
      <c r="O276" s="107">
        <v>0</v>
      </c>
      <c r="P276" s="107">
        <v>0</v>
      </c>
      <c r="Q276" s="107">
        <v>0.05</v>
      </c>
      <c r="R276" s="107">
        <v>0</v>
      </c>
      <c r="S276" s="107">
        <v>0.34</v>
      </c>
      <c r="T276" s="107">
        <v>50</v>
      </c>
      <c r="U276" s="107">
        <v>1</v>
      </c>
      <c r="V276" s="107">
        <v>0.45</v>
      </c>
      <c r="W276" s="107">
        <v>0</v>
      </c>
      <c r="X276" s="107">
        <v>0</v>
      </c>
      <c r="Y276" s="107">
        <v>0</v>
      </c>
      <c r="Z276" s="107">
        <v>600</v>
      </c>
      <c r="AA276" s="107">
        <v>0</v>
      </c>
      <c r="AB276" s="107">
        <v>0</v>
      </c>
      <c r="AC276" s="107">
        <v>0</v>
      </c>
      <c r="AD276" s="107">
        <v>0</v>
      </c>
      <c r="AE276" s="107">
        <v>0</v>
      </c>
      <c r="AF276" s="107">
        <v>0</v>
      </c>
      <c r="AG276" s="112"/>
      <c r="AH276" s="112"/>
    </row>
    <row r="277" spans="1:34" ht="13.5" thickBot="1">
      <c r="A277" s="107">
        <v>836</v>
      </c>
      <c r="B277" s="122" t="s">
        <v>358</v>
      </c>
      <c r="C277" s="107" t="s">
        <v>305</v>
      </c>
      <c r="D277" s="109">
        <v>0</v>
      </c>
      <c r="E277" s="107">
        <v>100</v>
      </c>
      <c r="F277" s="107">
        <v>0</v>
      </c>
      <c r="G277" s="107">
        <v>97</v>
      </c>
      <c r="H277" s="107">
        <v>0</v>
      </c>
      <c r="I277" s="107">
        <v>0</v>
      </c>
      <c r="J277" s="110">
        <v>0</v>
      </c>
      <c r="K277" s="111">
        <f t="shared" si="16"/>
        <v>0</v>
      </c>
      <c r="L277" s="111">
        <f t="shared" si="15"/>
        <v>0</v>
      </c>
      <c r="M277" s="111">
        <f t="shared" si="17"/>
        <v>0</v>
      </c>
      <c r="N277" s="107">
        <v>0</v>
      </c>
      <c r="O277" s="107">
        <v>0</v>
      </c>
      <c r="P277" s="107">
        <v>0</v>
      </c>
      <c r="Q277" s="107">
        <v>16.399999999999999</v>
      </c>
      <c r="R277" s="107">
        <v>21.6</v>
      </c>
      <c r="S277" s="107">
        <v>0.61</v>
      </c>
      <c r="T277" s="107">
        <v>0.08</v>
      </c>
      <c r="U277" s="107">
        <v>0.06</v>
      </c>
      <c r="V277" s="107">
        <v>1.22</v>
      </c>
      <c r="W277" s="107">
        <v>10</v>
      </c>
      <c r="X277" s="107">
        <v>10</v>
      </c>
      <c r="Y277" s="107">
        <v>0</v>
      </c>
      <c r="Z277" s="107">
        <v>15800</v>
      </c>
      <c r="AA277" s="107">
        <v>360</v>
      </c>
      <c r="AB277" s="107">
        <v>0</v>
      </c>
      <c r="AC277" s="107">
        <v>90</v>
      </c>
      <c r="AD277" s="107">
        <v>0</v>
      </c>
      <c r="AE277" s="107">
        <v>0</v>
      </c>
      <c r="AF277" s="107">
        <v>0</v>
      </c>
      <c r="AG277" s="112"/>
      <c r="AH277" s="112"/>
    </row>
    <row r="278" spans="1:34" ht="13.5" thickBot="1">
      <c r="A278" s="107">
        <v>837</v>
      </c>
      <c r="B278" s="122" t="s">
        <v>359</v>
      </c>
      <c r="C278" s="107" t="s">
        <v>306</v>
      </c>
      <c r="D278" s="109">
        <v>0</v>
      </c>
      <c r="E278" s="107">
        <v>100</v>
      </c>
      <c r="F278" s="107">
        <v>0</v>
      </c>
      <c r="G278" s="107">
        <v>96</v>
      </c>
      <c r="H278" s="107">
        <v>0</v>
      </c>
      <c r="I278" s="107">
        <v>0</v>
      </c>
      <c r="J278" s="110">
        <v>0</v>
      </c>
      <c r="K278" s="111">
        <f t="shared" si="16"/>
        <v>0</v>
      </c>
      <c r="L278" s="111">
        <f t="shared" si="15"/>
        <v>0</v>
      </c>
      <c r="M278" s="111">
        <f t="shared" si="17"/>
        <v>0</v>
      </c>
      <c r="N278" s="107">
        <v>0</v>
      </c>
      <c r="O278" s="107">
        <v>0</v>
      </c>
      <c r="P278" s="107">
        <v>0</v>
      </c>
      <c r="Q278" s="107">
        <v>0</v>
      </c>
      <c r="R278" s="107">
        <v>25</v>
      </c>
      <c r="S278" s="107">
        <v>0</v>
      </c>
      <c r="T278" s="107">
        <v>0</v>
      </c>
      <c r="U278" s="107">
        <v>31</v>
      </c>
      <c r="V278" s="107">
        <v>0</v>
      </c>
      <c r="W278" s="107">
        <v>0</v>
      </c>
      <c r="X278" s="107">
        <v>0</v>
      </c>
      <c r="Y278" s="107">
        <v>0</v>
      </c>
      <c r="Z278" s="107">
        <v>40</v>
      </c>
      <c r="AA278" s="107">
        <v>0</v>
      </c>
      <c r="AB278" s="107">
        <v>0</v>
      </c>
      <c r="AC278" s="107">
        <v>0</v>
      </c>
      <c r="AD278" s="107">
        <v>0</v>
      </c>
      <c r="AE278" s="107">
        <v>0</v>
      </c>
      <c r="AF278" s="107">
        <v>0</v>
      </c>
      <c r="AG278" s="112"/>
      <c r="AH278" s="112"/>
    </row>
    <row r="279" spans="1:34" ht="13.5" thickBot="1">
      <c r="A279" s="107">
        <v>901</v>
      </c>
      <c r="B279" s="116" t="s">
        <v>48</v>
      </c>
      <c r="C279" s="116"/>
      <c r="D279" s="109">
        <v>0</v>
      </c>
      <c r="E279" s="116">
        <v>100</v>
      </c>
      <c r="F279" s="116">
        <v>0</v>
      </c>
      <c r="G279" s="116">
        <v>100</v>
      </c>
      <c r="H279" s="116">
        <v>0</v>
      </c>
      <c r="I279" s="116">
        <v>0</v>
      </c>
      <c r="J279" s="119">
        <v>0</v>
      </c>
      <c r="K279" s="111">
        <f t="shared" si="16"/>
        <v>0</v>
      </c>
      <c r="L279" s="111">
        <f t="shared" si="15"/>
        <v>0</v>
      </c>
      <c r="M279" s="111">
        <f t="shared" si="17"/>
        <v>0</v>
      </c>
      <c r="N279" s="116">
        <v>0</v>
      </c>
      <c r="O279" s="116">
        <v>0</v>
      </c>
      <c r="P279" s="116">
        <v>0</v>
      </c>
      <c r="Q279" s="116">
        <v>0</v>
      </c>
      <c r="R279" s="116">
        <v>0</v>
      </c>
      <c r="S279" s="116">
        <v>0</v>
      </c>
      <c r="T279" s="116">
        <v>0</v>
      </c>
      <c r="U279" s="116">
        <v>0</v>
      </c>
      <c r="V279" s="116">
        <v>0</v>
      </c>
      <c r="W279" s="116">
        <v>0</v>
      </c>
      <c r="X279" s="116">
        <v>0</v>
      </c>
      <c r="Y279" s="116">
        <v>0</v>
      </c>
      <c r="Z279" s="116">
        <v>0</v>
      </c>
      <c r="AA279" s="116">
        <v>0</v>
      </c>
      <c r="AB279" s="116">
        <v>0</v>
      </c>
      <c r="AC279" s="116">
        <v>0</v>
      </c>
      <c r="AD279" s="116">
        <v>0</v>
      </c>
      <c r="AE279" s="116">
        <v>0</v>
      </c>
      <c r="AF279" s="116">
        <v>0</v>
      </c>
      <c r="AG279" s="120"/>
      <c r="AH279" s="120"/>
    </row>
    <row r="280" spans="1:34" ht="13.5" thickBot="1">
      <c r="A280" s="107">
        <v>902</v>
      </c>
      <c r="B280" s="116" t="s">
        <v>48</v>
      </c>
      <c r="C280" s="116"/>
      <c r="D280" s="109">
        <v>0</v>
      </c>
      <c r="E280" s="116">
        <v>100</v>
      </c>
      <c r="F280" s="116">
        <v>0</v>
      </c>
      <c r="G280" s="116">
        <v>100</v>
      </c>
      <c r="H280" s="116">
        <v>0</v>
      </c>
      <c r="I280" s="116">
        <v>0</v>
      </c>
      <c r="J280" s="119">
        <v>0</v>
      </c>
      <c r="K280" s="111">
        <f t="shared" si="16"/>
        <v>0</v>
      </c>
      <c r="L280" s="111">
        <f t="shared" si="15"/>
        <v>0</v>
      </c>
      <c r="M280" s="111">
        <f t="shared" si="17"/>
        <v>0</v>
      </c>
      <c r="N280" s="116">
        <v>0</v>
      </c>
      <c r="O280" s="116">
        <v>0</v>
      </c>
      <c r="P280" s="116">
        <v>0</v>
      </c>
      <c r="Q280" s="116">
        <v>0</v>
      </c>
      <c r="R280" s="116">
        <v>0</v>
      </c>
      <c r="S280" s="116">
        <v>0</v>
      </c>
      <c r="T280" s="116">
        <v>0</v>
      </c>
      <c r="U280" s="116">
        <v>0</v>
      </c>
      <c r="V280" s="116">
        <v>0</v>
      </c>
      <c r="W280" s="116">
        <v>0</v>
      </c>
      <c r="X280" s="116">
        <v>0</v>
      </c>
      <c r="Y280" s="116">
        <v>0</v>
      </c>
      <c r="Z280" s="116">
        <v>0</v>
      </c>
      <c r="AA280" s="116">
        <v>0</v>
      </c>
      <c r="AB280" s="116">
        <v>0</v>
      </c>
      <c r="AC280" s="116">
        <v>0</v>
      </c>
      <c r="AD280" s="116">
        <v>0</v>
      </c>
      <c r="AE280" s="116">
        <v>0</v>
      </c>
      <c r="AF280" s="116">
        <v>0</v>
      </c>
      <c r="AG280" s="120"/>
      <c r="AH280" s="120"/>
    </row>
    <row r="281" spans="1:34" ht="13.5" thickBot="1">
      <c r="A281" s="107">
        <v>903</v>
      </c>
      <c r="B281" s="116" t="s">
        <v>545</v>
      </c>
      <c r="C281" s="116"/>
      <c r="D281" s="109">
        <v>0</v>
      </c>
      <c r="E281" s="116">
        <v>100</v>
      </c>
      <c r="F281" s="116">
        <v>0</v>
      </c>
      <c r="G281" s="116">
        <v>100</v>
      </c>
      <c r="H281" s="116">
        <v>0</v>
      </c>
      <c r="I281" s="116">
        <v>0</v>
      </c>
      <c r="J281" s="119">
        <v>0</v>
      </c>
      <c r="K281" s="111">
        <f t="shared" si="16"/>
        <v>0</v>
      </c>
      <c r="L281" s="111">
        <f t="shared" ref="L281:L289" si="18">IF(J281 = 0,0,(1.37*(J281*0.01*4.409*0.82)-0.138*(J281*0.01*4.409*0.82)^2+0.0105*(J281*0.01*4.409*0.82)^3-1.12)/2.2)</f>
        <v>0</v>
      </c>
      <c r="M281" s="111">
        <f t="shared" si="17"/>
        <v>0</v>
      </c>
      <c r="N281" s="116">
        <v>0</v>
      </c>
      <c r="O281" s="116">
        <v>0</v>
      </c>
      <c r="P281" s="116">
        <v>0</v>
      </c>
      <c r="Q281" s="116">
        <v>12</v>
      </c>
      <c r="R281" s="116">
        <v>6</v>
      </c>
      <c r="S281" s="116">
        <v>0.2</v>
      </c>
      <c r="T281" s="116">
        <v>0</v>
      </c>
      <c r="U281" s="116">
        <v>14</v>
      </c>
      <c r="V281" s="116">
        <v>0.46</v>
      </c>
      <c r="W281" s="116">
        <v>26</v>
      </c>
      <c r="X281" s="116">
        <v>950</v>
      </c>
      <c r="Y281" s="116">
        <v>50</v>
      </c>
      <c r="Z281" s="116">
        <v>1337</v>
      </c>
      <c r="AA281" s="116">
        <v>2200</v>
      </c>
      <c r="AB281" s="116">
        <v>28</v>
      </c>
      <c r="AC281" s="116">
        <v>2850</v>
      </c>
      <c r="AD281" s="116">
        <v>500000</v>
      </c>
      <c r="AE281" s="116">
        <v>10000</v>
      </c>
      <c r="AF281" s="116">
        <v>200</v>
      </c>
      <c r="AG281" s="120"/>
      <c r="AH281" s="120"/>
    </row>
    <row r="282" spans="1:34" ht="13.5" thickBot="1">
      <c r="A282" s="107">
        <v>904</v>
      </c>
      <c r="B282" s="116" t="s">
        <v>48</v>
      </c>
      <c r="C282" s="116"/>
      <c r="D282" s="109">
        <v>0</v>
      </c>
      <c r="E282" s="116">
        <v>100</v>
      </c>
      <c r="F282" s="116">
        <v>0</v>
      </c>
      <c r="G282" s="116">
        <v>100</v>
      </c>
      <c r="H282" s="116">
        <v>0</v>
      </c>
      <c r="I282" s="116">
        <v>0</v>
      </c>
      <c r="J282" s="119">
        <v>0</v>
      </c>
      <c r="K282" s="111">
        <f t="shared" si="16"/>
        <v>0</v>
      </c>
      <c r="L282" s="111">
        <f t="shared" si="18"/>
        <v>0</v>
      </c>
      <c r="M282" s="111">
        <f t="shared" si="17"/>
        <v>0</v>
      </c>
      <c r="N282" s="116">
        <v>0</v>
      </c>
      <c r="O282" s="116">
        <v>0</v>
      </c>
      <c r="P282" s="116">
        <v>0</v>
      </c>
      <c r="Q282" s="116">
        <v>0</v>
      </c>
      <c r="R282" s="116">
        <v>0</v>
      </c>
      <c r="S282" s="116">
        <v>0</v>
      </c>
      <c r="T282" s="116">
        <v>0</v>
      </c>
      <c r="U282" s="116">
        <v>0</v>
      </c>
      <c r="V282" s="116">
        <v>0</v>
      </c>
      <c r="W282" s="116">
        <v>0</v>
      </c>
      <c r="X282" s="116">
        <v>0</v>
      </c>
      <c r="Y282" s="116">
        <v>0</v>
      </c>
      <c r="Z282" s="116">
        <v>0</v>
      </c>
      <c r="AA282" s="116">
        <v>0</v>
      </c>
      <c r="AB282" s="116">
        <v>0</v>
      </c>
      <c r="AC282" s="116">
        <v>0</v>
      </c>
      <c r="AD282" s="116">
        <v>0</v>
      </c>
      <c r="AE282" s="116">
        <v>0</v>
      </c>
      <c r="AF282" s="116">
        <v>0</v>
      </c>
      <c r="AG282" s="120"/>
      <c r="AH282" s="120"/>
    </row>
    <row r="283" spans="1:34" ht="13.5" thickBot="1">
      <c r="A283" s="107">
        <v>905</v>
      </c>
      <c r="B283" s="116" t="s">
        <v>48</v>
      </c>
      <c r="C283" s="116"/>
      <c r="D283" s="109">
        <v>0</v>
      </c>
      <c r="E283" s="116">
        <v>100</v>
      </c>
      <c r="F283" s="116">
        <v>0</v>
      </c>
      <c r="G283" s="116">
        <v>100</v>
      </c>
      <c r="H283" s="116">
        <v>0</v>
      </c>
      <c r="I283" s="116">
        <v>0</v>
      </c>
      <c r="J283" s="119">
        <v>0</v>
      </c>
      <c r="K283" s="111">
        <f t="shared" si="16"/>
        <v>0</v>
      </c>
      <c r="L283" s="111">
        <f t="shared" si="18"/>
        <v>0</v>
      </c>
      <c r="M283" s="111">
        <f t="shared" si="17"/>
        <v>0</v>
      </c>
      <c r="N283" s="116">
        <v>0</v>
      </c>
      <c r="O283" s="116">
        <v>0</v>
      </c>
      <c r="P283" s="116">
        <v>0</v>
      </c>
      <c r="Q283" s="116">
        <v>0</v>
      </c>
      <c r="R283" s="116">
        <v>0</v>
      </c>
      <c r="S283" s="116">
        <v>0</v>
      </c>
      <c r="T283" s="116">
        <v>0</v>
      </c>
      <c r="U283" s="116">
        <v>0</v>
      </c>
      <c r="V283" s="116">
        <v>0</v>
      </c>
      <c r="W283" s="116">
        <v>0</v>
      </c>
      <c r="X283" s="116">
        <v>0</v>
      </c>
      <c r="Y283" s="116">
        <v>0</v>
      </c>
      <c r="Z283" s="116">
        <v>0</v>
      </c>
      <c r="AA283" s="116">
        <v>0</v>
      </c>
      <c r="AB283" s="116">
        <v>0</v>
      </c>
      <c r="AC283" s="116">
        <v>0</v>
      </c>
      <c r="AD283" s="116">
        <v>0</v>
      </c>
      <c r="AE283" s="116">
        <v>0</v>
      </c>
      <c r="AF283" s="116">
        <v>0</v>
      </c>
      <c r="AG283" s="120"/>
      <c r="AH283" s="120"/>
    </row>
    <row r="284" spans="1:34" ht="13.5" thickBot="1">
      <c r="A284" s="107">
        <v>906</v>
      </c>
      <c r="B284" s="116" t="s">
        <v>560</v>
      </c>
      <c r="C284" s="116"/>
      <c r="D284" s="109">
        <v>0</v>
      </c>
      <c r="E284" s="116">
        <v>100</v>
      </c>
      <c r="F284" s="116">
        <v>0</v>
      </c>
      <c r="G284" s="116">
        <v>88.3</v>
      </c>
      <c r="H284" s="116">
        <v>50.1</v>
      </c>
      <c r="I284" s="116">
        <v>20</v>
      </c>
      <c r="J284" s="119">
        <v>66</v>
      </c>
      <c r="K284" s="111">
        <f t="shared" si="16"/>
        <v>1.084614</v>
      </c>
      <c r="L284" s="111">
        <f t="shared" si="18"/>
        <v>0.68452159590899575</v>
      </c>
      <c r="M284" s="111">
        <f t="shared" si="17"/>
        <v>0.41517163498582677</v>
      </c>
      <c r="N284" s="116">
        <v>13</v>
      </c>
      <c r="O284" s="116">
        <v>55</v>
      </c>
      <c r="P284" s="116">
        <v>2.5</v>
      </c>
      <c r="Q284" s="116">
        <v>0.52</v>
      </c>
      <c r="R284" s="116">
        <v>0.31</v>
      </c>
      <c r="S284" s="116">
        <v>0.3</v>
      </c>
      <c r="T284" s="116">
        <v>1.18</v>
      </c>
      <c r="U284" s="116">
        <v>0.11</v>
      </c>
      <c r="V284" s="116">
        <v>0.18</v>
      </c>
      <c r="W284" s="116">
        <v>0</v>
      </c>
      <c r="X284" s="116">
        <v>7</v>
      </c>
      <c r="Y284" s="116">
        <v>0</v>
      </c>
      <c r="Z284" s="116">
        <v>446</v>
      </c>
      <c r="AA284" s="116">
        <v>30</v>
      </c>
      <c r="AB284" s="116">
        <v>0</v>
      </c>
      <c r="AC284" s="116">
        <v>46</v>
      </c>
      <c r="AD284" s="116">
        <v>0</v>
      </c>
      <c r="AE284" s="116">
        <v>0</v>
      </c>
      <c r="AF284" s="116">
        <v>0</v>
      </c>
      <c r="AG284" s="120"/>
      <c r="AH284" s="120"/>
    </row>
    <row r="285" spans="1:34" ht="13.5" thickBot="1">
      <c r="A285" s="107">
        <v>907</v>
      </c>
      <c r="B285" s="116" t="s">
        <v>48</v>
      </c>
      <c r="C285" s="116"/>
      <c r="D285" s="109">
        <v>0</v>
      </c>
      <c r="E285" s="116">
        <v>100</v>
      </c>
      <c r="F285" s="116">
        <v>0</v>
      </c>
      <c r="G285" s="116">
        <v>100</v>
      </c>
      <c r="H285" s="116">
        <v>0</v>
      </c>
      <c r="I285" s="116">
        <v>0</v>
      </c>
      <c r="J285" s="119">
        <v>0</v>
      </c>
      <c r="K285" s="111">
        <f t="shared" si="16"/>
        <v>0</v>
      </c>
      <c r="L285" s="111">
        <f t="shared" si="18"/>
        <v>0</v>
      </c>
      <c r="M285" s="111">
        <f t="shared" si="17"/>
        <v>0</v>
      </c>
      <c r="N285" s="116">
        <v>0</v>
      </c>
      <c r="O285" s="116">
        <v>0</v>
      </c>
      <c r="P285" s="116">
        <v>0</v>
      </c>
      <c r="Q285" s="116">
        <v>0</v>
      </c>
      <c r="R285" s="116">
        <v>0</v>
      </c>
      <c r="S285" s="116">
        <v>0</v>
      </c>
      <c r="T285" s="116">
        <v>0</v>
      </c>
      <c r="U285" s="116">
        <v>0</v>
      </c>
      <c r="V285" s="116">
        <v>0</v>
      </c>
      <c r="W285" s="116">
        <v>0</v>
      </c>
      <c r="X285" s="116">
        <v>0</v>
      </c>
      <c r="Y285" s="116">
        <v>0</v>
      </c>
      <c r="Z285" s="116">
        <v>0</v>
      </c>
      <c r="AA285" s="116">
        <v>0</v>
      </c>
      <c r="AB285" s="116">
        <v>0</v>
      </c>
      <c r="AC285" s="116">
        <v>0</v>
      </c>
      <c r="AD285" s="116">
        <v>0</v>
      </c>
      <c r="AE285" s="116">
        <v>0</v>
      </c>
      <c r="AF285" s="116">
        <v>0</v>
      </c>
      <c r="AG285" s="120"/>
      <c r="AH285" s="120"/>
    </row>
    <row r="286" spans="1:34" ht="13.5" thickBot="1">
      <c r="A286" s="107">
        <v>908</v>
      </c>
      <c r="B286" s="116" t="s">
        <v>48</v>
      </c>
      <c r="C286" s="116"/>
      <c r="D286" s="109">
        <v>0</v>
      </c>
      <c r="E286" s="116">
        <v>100</v>
      </c>
      <c r="F286" s="116">
        <v>0</v>
      </c>
      <c r="G286" s="116">
        <v>100</v>
      </c>
      <c r="H286" s="116">
        <v>0</v>
      </c>
      <c r="I286" s="116">
        <v>0</v>
      </c>
      <c r="J286" s="119">
        <v>0</v>
      </c>
      <c r="K286" s="111">
        <f t="shared" si="16"/>
        <v>0</v>
      </c>
      <c r="L286" s="111">
        <f t="shared" si="18"/>
        <v>0</v>
      </c>
      <c r="M286" s="111">
        <f t="shared" si="17"/>
        <v>0</v>
      </c>
      <c r="N286" s="116">
        <v>0</v>
      </c>
      <c r="O286" s="116">
        <v>0</v>
      </c>
      <c r="P286" s="116">
        <v>0</v>
      </c>
      <c r="Q286" s="116">
        <v>0</v>
      </c>
      <c r="R286" s="116">
        <v>0</v>
      </c>
      <c r="S286" s="116">
        <v>0</v>
      </c>
      <c r="T286" s="116">
        <v>0</v>
      </c>
      <c r="U286" s="116">
        <v>0</v>
      </c>
      <c r="V286" s="116">
        <v>0</v>
      </c>
      <c r="W286" s="116">
        <v>0</v>
      </c>
      <c r="X286" s="116">
        <v>0</v>
      </c>
      <c r="Y286" s="116">
        <v>0</v>
      </c>
      <c r="Z286" s="116">
        <v>0</v>
      </c>
      <c r="AA286" s="116">
        <v>0</v>
      </c>
      <c r="AB286" s="116">
        <v>0</v>
      </c>
      <c r="AC286" s="116">
        <v>0</v>
      </c>
      <c r="AD286" s="116">
        <v>0</v>
      </c>
      <c r="AE286" s="116">
        <v>0</v>
      </c>
      <c r="AF286" s="116">
        <v>0</v>
      </c>
      <c r="AG286" s="120"/>
      <c r="AH286" s="120"/>
    </row>
    <row r="287" spans="1:34" ht="13.5" thickBot="1">
      <c r="A287" s="107">
        <v>909</v>
      </c>
      <c r="B287" s="116" t="s">
        <v>48</v>
      </c>
      <c r="C287" s="116"/>
      <c r="D287" s="109">
        <v>0</v>
      </c>
      <c r="E287" s="116">
        <v>100</v>
      </c>
      <c r="F287" s="116">
        <v>0</v>
      </c>
      <c r="G287" s="116">
        <v>100</v>
      </c>
      <c r="H287" s="116">
        <v>0</v>
      </c>
      <c r="I287" s="116">
        <v>0</v>
      </c>
      <c r="J287" s="119">
        <v>0</v>
      </c>
      <c r="K287" s="111">
        <f t="shared" si="16"/>
        <v>0</v>
      </c>
      <c r="L287" s="111">
        <f t="shared" si="18"/>
        <v>0</v>
      </c>
      <c r="M287" s="111">
        <f t="shared" si="17"/>
        <v>0</v>
      </c>
      <c r="N287" s="116">
        <v>0</v>
      </c>
      <c r="O287" s="116">
        <v>0</v>
      </c>
      <c r="P287" s="116">
        <v>0</v>
      </c>
      <c r="Q287" s="116">
        <v>0</v>
      </c>
      <c r="R287" s="116">
        <v>0</v>
      </c>
      <c r="S287" s="116">
        <v>0</v>
      </c>
      <c r="T287" s="116">
        <v>0</v>
      </c>
      <c r="U287" s="116">
        <v>0</v>
      </c>
      <c r="V287" s="116">
        <v>0</v>
      </c>
      <c r="W287" s="116">
        <v>0</v>
      </c>
      <c r="X287" s="116">
        <v>0</v>
      </c>
      <c r="Y287" s="116">
        <v>0</v>
      </c>
      <c r="Z287" s="116">
        <v>0</v>
      </c>
      <c r="AA287" s="116">
        <v>0</v>
      </c>
      <c r="AB287" s="116">
        <v>0</v>
      </c>
      <c r="AC287" s="116">
        <v>0</v>
      </c>
      <c r="AD287" s="116">
        <v>0</v>
      </c>
      <c r="AE287" s="116">
        <v>0</v>
      </c>
      <c r="AF287" s="116">
        <v>0</v>
      </c>
      <c r="AG287" s="120"/>
      <c r="AH287" s="120"/>
    </row>
    <row r="288" spans="1:34" ht="13.5" thickBot="1">
      <c r="A288" s="107">
        <v>910</v>
      </c>
      <c r="B288" s="116" t="s">
        <v>48</v>
      </c>
      <c r="C288" s="116"/>
      <c r="D288" s="109">
        <v>0</v>
      </c>
      <c r="E288" s="116">
        <v>100</v>
      </c>
      <c r="F288" s="116">
        <v>0</v>
      </c>
      <c r="G288" s="116">
        <v>100</v>
      </c>
      <c r="H288" s="116">
        <v>0</v>
      </c>
      <c r="I288" s="116">
        <v>0</v>
      </c>
      <c r="J288" s="119">
        <v>0</v>
      </c>
      <c r="K288" s="111">
        <f t="shared" si="16"/>
        <v>0</v>
      </c>
      <c r="L288" s="111">
        <f t="shared" si="18"/>
        <v>0</v>
      </c>
      <c r="M288" s="111">
        <f t="shared" si="17"/>
        <v>0</v>
      </c>
      <c r="N288" s="116">
        <v>0</v>
      </c>
      <c r="O288" s="116">
        <v>0</v>
      </c>
      <c r="P288" s="116">
        <v>0</v>
      </c>
      <c r="Q288" s="116">
        <v>0</v>
      </c>
      <c r="R288" s="116">
        <v>0</v>
      </c>
      <c r="S288" s="116">
        <v>0</v>
      </c>
      <c r="T288" s="116">
        <v>0</v>
      </c>
      <c r="U288" s="116">
        <v>0</v>
      </c>
      <c r="V288" s="116">
        <v>0</v>
      </c>
      <c r="W288" s="116">
        <v>0</v>
      </c>
      <c r="X288" s="116">
        <v>0</v>
      </c>
      <c r="Y288" s="116">
        <v>0</v>
      </c>
      <c r="Z288" s="116">
        <v>0</v>
      </c>
      <c r="AA288" s="116">
        <v>0</v>
      </c>
      <c r="AB288" s="116">
        <v>0</v>
      </c>
      <c r="AC288" s="116">
        <v>0</v>
      </c>
      <c r="AD288" s="116">
        <v>0</v>
      </c>
      <c r="AE288" s="116">
        <v>0</v>
      </c>
      <c r="AF288" s="116">
        <v>0</v>
      </c>
      <c r="AG288" s="120"/>
      <c r="AH288" s="120"/>
    </row>
    <row r="289" spans="1:34" ht="13.5" thickBot="1">
      <c r="A289" s="107">
        <v>999</v>
      </c>
      <c r="B289" s="116" t="s">
        <v>48</v>
      </c>
      <c r="C289" s="116"/>
      <c r="D289" s="109">
        <v>0</v>
      </c>
      <c r="E289" s="116">
        <v>100</v>
      </c>
      <c r="F289" s="116">
        <v>0</v>
      </c>
      <c r="G289" s="116">
        <v>100</v>
      </c>
      <c r="H289" s="116">
        <v>0</v>
      </c>
      <c r="I289" s="116">
        <v>0</v>
      </c>
      <c r="J289" s="119">
        <v>0</v>
      </c>
      <c r="K289" s="111">
        <f t="shared" si="16"/>
        <v>0</v>
      </c>
      <c r="L289" s="111">
        <f t="shared" si="18"/>
        <v>0</v>
      </c>
      <c r="M289" s="111">
        <f t="shared" si="17"/>
        <v>0</v>
      </c>
      <c r="N289" s="116">
        <v>0</v>
      </c>
      <c r="O289" s="116">
        <v>0</v>
      </c>
      <c r="P289" s="116">
        <v>0</v>
      </c>
      <c r="Q289" s="116">
        <v>0</v>
      </c>
      <c r="R289" s="116">
        <v>0</v>
      </c>
      <c r="S289" s="116">
        <v>0</v>
      </c>
      <c r="T289" s="116">
        <v>0</v>
      </c>
      <c r="U289" s="116">
        <v>0</v>
      </c>
      <c r="V289" s="116">
        <v>0</v>
      </c>
      <c r="W289" s="116">
        <v>0</v>
      </c>
      <c r="X289" s="116">
        <v>0</v>
      </c>
      <c r="Y289" s="116">
        <v>0</v>
      </c>
      <c r="Z289" s="116">
        <v>0</v>
      </c>
      <c r="AA289" s="116">
        <v>0</v>
      </c>
      <c r="AB289" s="116">
        <v>0</v>
      </c>
      <c r="AC289" s="116">
        <v>0</v>
      </c>
      <c r="AD289" s="116">
        <v>0</v>
      </c>
      <c r="AE289" s="116">
        <v>0</v>
      </c>
      <c r="AF289" s="116">
        <v>0</v>
      </c>
      <c r="AG289" s="120"/>
      <c r="AH289" s="120"/>
    </row>
    <row r="297" spans="1:34" ht="12.75">
      <c r="C297" s="105"/>
      <c r="D297" s="105"/>
      <c r="E297" s="105"/>
      <c r="F297" s="105"/>
      <c r="G297" s="105"/>
      <c r="H297" s="105"/>
      <c r="I297" s="105"/>
      <c r="J297" s="105"/>
      <c r="K297" s="106"/>
      <c r="L297" s="106"/>
      <c r="M297" s="106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</row>
  </sheetData>
  <sheetProtection password="CB15"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2:G32"/>
  <sheetViews>
    <sheetView topLeftCell="A4" workbookViewId="0">
      <selection activeCell="B27" sqref="B27"/>
    </sheetView>
  </sheetViews>
  <sheetFormatPr defaultRowHeight="12.75"/>
  <cols>
    <col min="1" max="1" width="13" style="123" customWidth="1"/>
    <col min="2" max="2" width="26.85546875" style="123" bestFit="1" customWidth="1"/>
    <col min="3" max="3" width="11.85546875" style="125" customWidth="1"/>
    <col min="4" max="6" width="11.28515625" style="125" customWidth="1"/>
    <col min="7" max="7" width="10.42578125" style="123" customWidth="1"/>
    <col min="8" max="16384" width="9.140625" style="123"/>
  </cols>
  <sheetData>
    <row r="2" spans="1:7" ht="18">
      <c r="C2" s="124" t="s">
        <v>525</v>
      </c>
      <c r="D2" s="124"/>
      <c r="E2" s="124"/>
      <c r="F2" s="124"/>
    </row>
    <row r="3" spans="1:7" ht="13.5" thickBot="1"/>
    <row r="4" spans="1:7" ht="13.5" thickBot="1">
      <c r="B4" s="126" t="s">
        <v>554</v>
      </c>
      <c r="C4" s="129">
        <v>3760</v>
      </c>
      <c r="D4" s="123"/>
      <c r="E4" s="123"/>
      <c r="F4" s="123"/>
    </row>
    <row r="5" spans="1:7">
      <c r="B5" s="126"/>
      <c r="C5" s="37"/>
      <c r="D5" s="158"/>
      <c r="E5" s="37"/>
      <c r="F5" s="158"/>
    </row>
    <row r="6" spans="1:7" ht="13.5" thickBot="1">
      <c r="B6" s="127"/>
      <c r="C6" s="123"/>
      <c r="D6" s="123"/>
      <c r="E6" s="123"/>
      <c r="F6" s="123"/>
    </row>
    <row r="7" spans="1:7">
      <c r="C7" s="30"/>
      <c r="D7" s="30"/>
      <c r="E7" s="30" t="s">
        <v>528</v>
      </c>
      <c r="F7" s="27" t="s">
        <v>528</v>
      </c>
      <c r="G7" s="27" t="s">
        <v>555</v>
      </c>
    </row>
    <row r="8" spans="1:7">
      <c r="A8" s="53" t="s">
        <v>526</v>
      </c>
      <c r="C8" s="28" t="s">
        <v>532</v>
      </c>
      <c r="D8" s="31" t="s">
        <v>532</v>
      </c>
      <c r="E8" s="31" t="s">
        <v>529</v>
      </c>
      <c r="F8" s="28" t="s">
        <v>529</v>
      </c>
      <c r="G8" s="28" t="s">
        <v>556</v>
      </c>
    </row>
    <row r="9" spans="1:7" ht="13.5" thickBot="1">
      <c r="A9" s="125" t="s">
        <v>531</v>
      </c>
      <c r="B9" s="125" t="s">
        <v>362</v>
      </c>
      <c r="C9" s="29" t="s">
        <v>533</v>
      </c>
      <c r="D9" s="32" t="s">
        <v>553</v>
      </c>
      <c r="E9" s="32" t="s">
        <v>533</v>
      </c>
      <c r="F9" s="29" t="s">
        <v>558</v>
      </c>
      <c r="G9" s="29" t="s">
        <v>557</v>
      </c>
    </row>
    <row r="10" spans="1:7">
      <c r="A10" s="128" t="s">
        <v>521</v>
      </c>
      <c r="B10" s="130" t="str">
        <f>'Ration Formulation'!B7</f>
        <v>COTTONSEED HULLS</v>
      </c>
      <c r="C10" s="131">
        <f>'Feed Summary'!E5</f>
        <v>2.3926102736952259</v>
      </c>
      <c r="D10" s="131">
        <f>'Calf Info'!$D$9*'Feed Blend'!C10</f>
        <v>119.6305136847613</v>
      </c>
      <c r="E10" s="131">
        <f t="shared" ref="E10:E25" si="0">IF(A10="y",C10,0)</f>
        <v>2.3926102736952259</v>
      </c>
      <c r="F10" s="132">
        <f t="shared" ref="F10:F25" si="1">IF(A10="y",E10/$E$26*100,0)</f>
        <v>15.000000000000002</v>
      </c>
      <c r="G10" s="133">
        <f t="shared" ref="G10:G25" si="2">IF(A10="y",$C$4*(F10/100),0)</f>
        <v>564.00000000000011</v>
      </c>
    </row>
    <row r="11" spans="1:7">
      <c r="A11" s="128" t="s">
        <v>521</v>
      </c>
      <c r="B11" s="134" t="str">
        <f>'Ration Formulation'!B8</f>
        <v>Corn Grain Cracked</v>
      </c>
      <c r="C11" s="135">
        <f>'Feed Summary'!E6</f>
        <v>0</v>
      </c>
      <c r="D11" s="135">
        <f>'Calf Info'!$D$9*'Feed Blend'!C11</f>
        <v>0</v>
      </c>
      <c r="E11" s="135">
        <f t="shared" si="0"/>
        <v>0</v>
      </c>
      <c r="F11" s="136">
        <f t="shared" si="1"/>
        <v>0</v>
      </c>
      <c r="G11" s="137">
        <f t="shared" si="2"/>
        <v>0</v>
      </c>
    </row>
    <row r="12" spans="1:7">
      <c r="A12" s="128" t="s">
        <v>521</v>
      </c>
      <c r="B12" s="134" t="str">
        <f>'Ration Formulation'!B9</f>
        <v>Corn Hominy</v>
      </c>
      <c r="C12" s="135">
        <f>'Feed Summary'!E7</f>
        <v>8.4538896337231311</v>
      </c>
      <c r="D12" s="135">
        <f>'Calf Info'!$D$9*'Feed Blend'!C12</f>
        <v>422.69448168615656</v>
      </c>
      <c r="E12" s="135">
        <f t="shared" si="0"/>
        <v>8.4538896337231311</v>
      </c>
      <c r="F12" s="136">
        <f t="shared" si="1"/>
        <v>53</v>
      </c>
      <c r="G12" s="137">
        <f t="shared" si="2"/>
        <v>1992.8000000000002</v>
      </c>
    </row>
    <row r="13" spans="1:7">
      <c r="A13" s="128" t="s">
        <v>521</v>
      </c>
      <c r="B13" s="134" t="str">
        <f>'Ration Formulation'!B10</f>
        <v>Distillers Gr. Dehy - Inter.</v>
      </c>
      <c r="C13" s="135">
        <f>'Feed Summary'!E8</f>
        <v>4.7852205473904519</v>
      </c>
      <c r="D13" s="135">
        <f>'Calf Info'!$D$9*'Feed Blend'!C13</f>
        <v>239.26102736952259</v>
      </c>
      <c r="E13" s="135">
        <f t="shared" si="0"/>
        <v>4.7852205473904519</v>
      </c>
      <c r="F13" s="136">
        <f t="shared" si="1"/>
        <v>30.000000000000004</v>
      </c>
      <c r="G13" s="137">
        <f t="shared" si="2"/>
        <v>1128.0000000000002</v>
      </c>
    </row>
    <row r="14" spans="1:7">
      <c r="A14" s="128" t="s">
        <v>521</v>
      </c>
      <c r="B14" s="134" t="str">
        <f>'Ration Formulation'!B11</f>
        <v xml:space="preserve">Limestone  </v>
      </c>
      <c r="C14" s="135">
        <f>'Feed Summary'!E9</f>
        <v>0.31901470315936342</v>
      </c>
      <c r="D14" s="135">
        <f>'Calf Info'!$D$9*'Feed Blend'!C14</f>
        <v>15.950735157968172</v>
      </c>
      <c r="E14" s="135">
        <f t="shared" si="0"/>
        <v>0.31901470315936342</v>
      </c>
      <c r="F14" s="136">
        <f t="shared" si="1"/>
        <v>2</v>
      </c>
      <c r="G14" s="137">
        <f t="shared" si="2"/>
        <v>75.2</v>
      </c>
    </row>
    <row r="15" spans="1:7">
      <c r="A15" s="128" t="s">
        <v>521</v>
      </c>
      <c r="B15" s="134" t="str">
        <f>'Ration Formulation'!B12</f>
        <v/>
      </c>
      <c r="C15" s="135">
        <f>'Feed Summary'!E10</f>
        <v>0</v>
      </c>
      <c r="D15" s="135">
        <f>'Calf Info'!$D$9*'Feed Blend'!C15</f>
        <v>0</v>
      </c>
      <c r="E15" s="135">
        <f t="shared" si="0"/>
        <v>0</v>
      </c>
      <c r="F15" s="136">
        <f t="shared" si="1"/>
        <v>0</v>
      </c>
      <c r="G15" s="137">
        <f t="shared" si="2"/>
        <v>0</v>
      </c>
    </row>
    <row r="16" spans="1:7">
      <c r="A16" s="128" t="s">
        <v>521</v>
      </c>
      <c r="B16" s="134" t="str">
        <f>'Ration Formulation'!B13</f>
        <v/>
      </c>
      <c r="C16" s="135">
        <f>'Feed Summary'!E11</f>
        <v>0</v>
      </c>
      <c r="D16" s="135">
        <f>'Calf Info'!$D$9*'Feed Blend'!C16</f>
        <v>0</v>
      </c>
      <c r="E16" s="135">
        <f t="shared" si="0"/>
        <v>0</v>
      </c>
      <c r="F16" s="136">
        <f t="shared" si="1"/>
        <v>0</v>
      </c>
      <c r="G16" s="137">
        <f t="shared" si="2"/>
        <v>0</v>
      </c>
    </row>
    <row r="17" spans="1:7">
      <c r="A17" s="128" t="s">
        <v>521</v>
      </c>
      <c r="B17" s="134" t="str">
        <f>'Ration Formulation'!B14</f>
        <v/>
      </c>
      <c r="C17" s="135">
        <f>'Feed Summary'!E12</f>
        <v>0</v>
      </c>
      <c r="D17" s="135">
        <f>'Calf Info'!$D$9*'Feed Blend'!C17</f>
        <v>0</v>
      </c>
      <c r="E17" s="135">
        <f t="shared" si="0"/>
        <v>0</v>
      </c>
      <c r="F17" s="136">
        <f t="shared" si="1"/>
        <v>0</v>
      </c>
      <c r="G17" s="137">
        <f t="shared" si="2"/>
        <v>0</v>
      </c>
    </row>
    <row r="18" spans="1:7">
      <c r="A18" s="128" t="s">
        <v>521</v>
      </c>
      <c r="B18" s="134" t="str">
        <f>'Ration Formulation'!B15</f>
        <v/>
      </c>
      <c r="C18" s="135">
        <f>'Feed Summary'!E13</f>
        <v>0</v>
      </c>
      <c r="D18" s="135">
        <f>'Calf Info'!$D$9*'Feed Blend'!C18</f>
        <v>0</v>
      </c>
      <c r="E18" s="135">
        <f t="shared" si="0"/>
        <v>0</v>
      </c>
      <c r="F18" s="136">
        <f t="shared" si="1"/>
        <v>0</v>
      </c>
      <c r="G18" s="137">
        <f t="shared" si="2"/>
        <v>0</v>
      </c>
    </row>
    <row r="19" spans="1:7">
      <c r="A19" s="128" t="s">
        <v>521</v>
      </c>
      <c r="B19" s="134" t="str">
        <f>'Ration Formulation'!B16</f>
        <v/>
      </c>
      <c r="C19" s="135">
        <f>'Feed Summary'!E14</f>
        <v>0</v>
      </c>
      <c r="D19" s="135">
        <f>'Calf Info'!$D$9*'Feed Blend'!C19</f>
        <v>0</v>
      </c>
      <c r="E19" s="135">
        <f t="shared" si="0"/>
        <v>0</v>
      </c>
      <c r="F19" s="136">
        <f t="shared" si="1"/>
        <v>0</v>
      </c>
      <c r="G19" s="137">
        <f t="shared" si="2"/>
        <v>0</v>
      </c>
    </row>
    <row r="20" spans="1:7">
      <c r="A20" s="128" t="s">
        <v>521</v>
      </c>
      <c r="B20" s="134" t="str">
        <f>'Ration Formulation'!B17</f>
        <v/>
      </c>
      <c r="C20" s="135">
        <f>'Feed Summary'!E15</f>
        <v>0</v>
      </c>
      <c r="D20" s="135">
        <f>'Calf Info'!$D$9*'Feed Blend'!C20</f>
        <v>0</v>
      </c>
      <c r="E20" s="135">
        <f t="shared" si="0"/>
        <v>0</v>
      </c>
      <c r="F20" s="136">
        <f t="shared" si="1"/>
        <v>0</v>
      </c>
      <c r="G20" s="137">
        <f t="shared" si="2"/>
        <v>0</v>
      </c>
    </row>
    <row r="21" spans="1:7">
      <c r="A21" s="128" t="s">
        <v>521</v>
      </c>
      <c r="B21" s="134" t="str">
        <f>'Ration Formulation'!B18</f>
        <v/>
      </c>
      <c r="C21" s="135">
        <f>'Feed Summary'!E16</f>
        <v>0</v>
      </c>
      <c r="D21" s="135">
        <f>'Calf Info'!$D$9*'Feed Blend'!C21</f>
        <v>0</v>
      </c>
      <c r="E21" s="135">
        <f t="shared" si="0"/>
        <v>0</v>
      </c>
      <c r="F21" s="136">
        <f t="shared" si="1"/>
        <v>0</v>
      </c>
      <c r="G21" s="137">
        <f t="shared" si="2"/>
        <v>0</v>
      </c>
    </row>
    <row r="22" spans="1:7">
      <c r="A22" s="128" t="s">
        <v>521</v>
      </c>
      <c r="B22" s="134" t="str">
        <f>'Ration Formulation'!B19</f>
        <v/>
      </c>
      <c r="C22" s="135">
        <f>'Feed Summary'!E17</f>
        <v>0</v>
      </c>
      <c r="D22" s="135">
        <f>'Calf Info'!$D$9*'Feed Blend'!C22</f>
        <v>0</v>
      </c>
      <c r="E22" s="135">
        <f t="shared" si="0"/>
        <v>0</v>
      </c>
      <c r="F22" s="136">
        <f t="shared" si="1"/>
        <v>0</v>
      </c>
      <c r="G22" s="137">
        <f t="shared" si="2"/>
        <v>0</v>
      </c>
    </row>
    <row r="23" spans="1:7">
      <c r="A23" s="128" t="s">
        <v>521</v>
      </c>
      <c r="B23" s="134" t="str">
        <f>'Ration Formulation'!B20</f>
        <v/>
      </c>
      <c r="C23" s="135">
        <f>'Feed Summary'!E18</f>
        <v>0</v>
      </c>
      <c r="D23" s="135">
        <f>'Calf Info'!$D$9*'Feed Blend'!C23</f>
        <v>0</v>
      </c>
      <c r="E23" s="135">
        <f t="shared" si="0"/>
        <v>0</v>
      </c>
      <c r="F23" s="136">
        <f t="shared" si="1"/>
        <v>0</v>
      </c>
      <c r="G23" s="137">
        <f t="shared" si="2"/>
        <v>0</v>
      </c>
    </row>
    <row r="24" spans="1:7" ht="13.5" thickBot="1">
      <c r="A24" s="128" t="s">
        <v>521</v>
      </c>
      <c r="B24" s="138" t="str">
        <f>'Ration Formulation'!B20</f>
        <v/>
      </c>
      <c r="C24" s="139">
        <f>'Feed Summary'!E19</f>
        <v>0</v>
      </c>
      <c r="D24" s="139">
        <f>'Calf Info'!$D$9*'Feed Blend'!C24</f>
        <v>0</v>
      </c>
      <c r="E24" s="139">
        <f t="shared" si="0"/>
        <v>0</v>
      </c>
      <c r="F24" s="140">
        <f t="shared" si="1"/>
        <v>0</v>
      </c>
      <c r="G24" s="141">
        <f t="shared" si="2"/>
        <v>0</v>
      </c>
    </row>
    <row r="25" spans="1:7" ht="13.5" thickBot="1">
      <c r="A25" s="128" t="s">
        <v>520</v>
      </c>
      <c r="B25" s="142" t="s">
        <v>530</v>
      </c>
      <c r="C25" s="142">
        <f>IF(A25="y",'Ration Formulation'!C31/100*0.1,0)</f>
        <v>0</v>
      </c>
      <c r="D25" s="143">
        <f>'Calf Info'!$D$9*'Feed Blend'!C25</f>
        <v>0</v>
      </c>
      <c r="E25" s="144">
        <f t="shared" si="0"/>
        <v>0</v>
      </c>
      <c r="F25" s="140">
        <f t="shared" si="1"/>
        <v>0</v>
      </c>
      <c r="G25" s="141">
        <f t="shared" si="2"/>
        <v>0</v>
      </c>
    </row>
    <row r="26" spans="1:7" ht="13.5" thickBot="1">
      <c r="B26" s="127" t="s">
        <v>527</v>
      </c>
      <c r="C26" s="145">
        <f>SUM(C10:C25)</f>
        <v>15.950735157968172</v>
      </c>
      <c r="D26" s="139">
        <f>SUM(D10:D25)</f>
        <v>797.53675789840861</v>
      </c>
      <c r="E26" s="139">
        <f>SUM(E10:E25)</f>
        <v>15.950735157968172</v>
      </c>
      <c r="F26" s="144">
        <f>SUM(F10:F25)</f>
        <v>100</v>
      </c>
      <c r="G26" s="29">
        <f>SUM(G10:G25)</f>
        <v>3760</v>
      </c>
    </row>
    <row r="29" spans="1:7">
      <c r="B29" s="150"/>
      <c r="C29" s="151"/>
      <c r="D29" s="151"/>
      <c r="E29" s="152"/>
      <c r="F29" s="151"/>
      <c r="G29" s="153"/>
    </row>
    <row r="30" spans="1:7">
      <c r="B30" s="61"/>
      <c r="C30" s="154"/>
      <c r="D30" s="151"/>
      <c r="E30" s="155"/>
      <c r="F30" s="151"/>
      <c r="G30" s="156"/>
    </row>
    <row r="31" spans="1:7">
      <c r="B31" s="61"/>
      <c r="C31" s="154"/>
      <c r="D31" s="151"/>
      <c r="E31" s="155"/>
      <c r="F31" s="151"/>
      <c r="G31" s="156"/>
    </row>
    <row r="32" spans="1:7">
      <c r="B32" s="157"/>
      <c r="C32" s="151"/>
      <c r="D32" s="153"/>
      <c r="E32" s="157"/>
      <c r="F32" s="151"/>
      <c r="G32" s="153"/>
    </row>
  </sheetData>
  <sheetProtection password="CB15" sheet="1" objects="1" scenarios="1"/>
  <phoneticPr fontId="11" type="noConversion"/>
  <pageMargins left="0.75" right="0.75" top="1" bottom="1" header="0.5" footer="0.5"/>
  <pageSetup scale="97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M85"/>
  <sheetViews>
    <sheetView topLeftCell="A34" workbookViewId="0">
      <selection activeCell="H56" sqref="H56"/>
    </sheetView>
  </sheetViews>
  <sheetFormatPr defaultRowHeight="12.75"/>
  <cols>
    <col min="3" max="3" width="10.28515625" customWidth="1"/>
  </cols>
  <sheetData>
    <row r="3" spans="2:8">
      <c r="B3" s="6" t="s">
        <v>375</v>
      </c>
      <c r="H3" s="6" t="s">
        <v>385</v>
      </c>
    </row>
    <row r="4" spans="2:8">
      <c r="B4" t="s">
        <v>376</v>
      </c>
      <c r="D4" s="3">
        <f>(((D7*(0.2435*D8-0.0466*D8^2-0.1028))/D9)*(D10*D11*D14*D15*D16*D17))*2.2</f>
        <v>14.435415317961198</v>
      </c>
      <c r="H4" t="s">
        <v>487</v>
      </c>
    </row>
    <row r="5" spans="2:8">
      <c r="B5" t="s">
        <v>377</v>
      </c>
      <c r="D5" s="3">
        <f>(((D7*(0.2435*D8-0.0466*D8^2-0.0869))/D9)*(D10*D11*D14*D15*D16*D17))*2.2</f>
        <v>15.59677679201449</v>
      </c>
      <c r="H5" t="s">
        <v>488</v>
      </c>
    </row>
    <row r="6" spans="2:8">
      <c r="H6" t="s">
        <v>489</v>
      </c>
    </row>
    <row r="7" spans="2:8">
      <c r="C7" t="s">
        <v>379</v>
      </c>
      <c r="D7" s="2">
        <f>(('Calf Info'!D13+'Calf Info'!D22)/2*0.96/2.2)^0.75</f>
        <v>66.304461311322186</v>
      </c>
      <c r="H7" t="s">
        <v>490</v>
      </c>
    </row>
    <row r="8" spans="2:8">
      <c r="C8" t="s">
        <v>319</v>
      </c>
      <c r="D8" s="2">
        <f>'Ration Formulation'!G10*2.2</f>
        <v>1.9970785224821592</v>
      </c>
      <c r="H8" t="s">
        <v>491</v>
      </c>
    </row>
    <row r="9" spans="2:8">
      <c r="C9" t="s">
        <v>380</v>
      </c>
      <c r="D9" s="2">
        <f>IF(D8&lt;1,0.95,D8)</f>
        <v>1.9970785224821592</v>
      </c>
    </row>
    <row r="10" spans="2:8">
      <c r="C10" t="s">
        <v>381</v>
      </c>
      <c r="D10">
        <f>IF('Calf Info'!D25="y",1,IF(G26=2,1,0.94))</f>
        <v>1</v>
      </c>
    </row>
    <row r="11" spans="2:8">
      <c r="C11" t="s">
        <v>474</v>
      </c>
      <c r="D11">
        <f>IF(G23=5,1.06,1)</f>
        <v>1</v>
      </c>
      <c r="H11" s="6" t="s">
        <v>388</v>
      </c>
    </row>
    <row r="12" spans="2:8">
      <c r="H12" t="s">
        <v>389</v>
      </c>
    </row>
    <row r="13" spans="2:8">
      <c r="C13" t="s">
        <v>383</v>
      </c>
      <c r="D13" s="3">
        <f>0.891*(('Calf Info'!D13+'Calf Info'!D22)/2*0.96/2.2)*(478/('Calf Info'!D18*0.96/2.2))</f>
        <v>209.54181599999998</v>
      </c>
      <c r="H13" t="s">
        <v>386</v>
      </c>
    </row>
    <row r="14" spans="2:8">
      <c r="C14" t="s">
        <v>382</v>
      </c>
      <c r="D14">
        <f>IF(D13&lt;350,1,IF(AND(D13&gt;349,D13&lt;400),0.97,IF(AND(D13&gt;399,D13&lt;450),0.9,IF(AND(D13&gt;449,D13&lt;500),0.82,0.73))))</f>
        <v>1</v>
      </c>
      <c r="H14" t="s">
        <v>390</v>
      </c>
    </row>
    <row r="15" spans="2:8">
      <c r="C15" t="s">
        <v>387</v>
      </c>
      <c r="D15">
        <v>1</v>
      </c>
    </row>
    <row r="16" spans="2:8">
      <c r="C16" t="s">
        <v>388</v>
      </c>
      <c r="D16">
        <v>1</v>
      </c>
    </row>
    <row r="17" spans="2:13">
      <c r="D17">
        <v>1</v>
      </c>
      <c r="J17" s="14" t="s">
        <v>534</v>
      </c>
    </row>
    <row r="19" spans="2:13">
      <c r="B19" s="6" t="s">
        <v>391</v>
      </c>
      <c r="H19" s="6" t="s">
        <v>411</v>
      </c>
      <c r="L19" s="6" t="s">
        <v>496</v>
      </c>
    </row>
    <row r="20" spans="2:13">
      <c r="C20" t="s">
        <v>394</v>
      </c>
      <c r="E20">
        <f>0.8+(('Calf Info'!D14-1)*0.05)</f>
        <v>1</v>
      </c>
      <c r="H20" t="s">
        <v>412</v>
      </c>
      <c r="J20" s="3">
        <f>(3.8*D7)/0.67*1.05</f>
        <v>394.85791139130669</v>
      </c>
      <c r="K20" t="s">
        <v>413</v>
      </c>
      <c r="L20" t="s">
        <v>497</v>
      </c>
      <c r="M20">
        <f>'Ration Formulation'!C26*'Ration Formulation'!G12*(100-'Ration Formulation'!G13)/10000*454.545*0.8</f>
        <v>495.80753719579872</v>
      </c>
    </row>
    <row r="21" spans="2:13">
      <c r="C21" t="s">
        <v>319</v>
      </c>
      <c r="E21" s="2">
        <f>D7*(0.077*E20*G24*D24)</f>
        <v>5.1054435209718081</v>
      </c>
      <c r="L21" t="s">
        <v>317</v>
      </c>
      <c r="M21">
        <f>'Ration Formulation'!C26*'Ration Formulation'!G8/100*454.545</f>
        <v>5378.3650068716015</v>
      </c>
    </row>
    <row r="22" spans="2:13">
      <c r="C22" t="s">
        <v>381</v>
      </c>
      <c r="E22">
        <f>IF('Calf Info'!D26="y",1.12,1)</f>
        <v>1.1200000000000001</v>
      </c>
      <c r="G22" s="6" t="s">
        <v>475</v>
      </c>
      <c r="L22" t="s">
        <v>499</v>
      </c>
      <c r="M22">
        <f>IF('Ration Formulation'!G7&gt;20,1,1-((20-'Ration Formulation'!G7)*0.025))</f>
        <v>0.66763639388297058</v>
      </c>
    </row>
    <row r="23" spans="2:13">
      <c r="C23" t="s">
        <v>395</v>
      </c>
      <c r="E23" s="2">
        <f>E21/(D8*E22)</f>
        <v>2.2825500669286392</v>
      </c>
      <c r="G23" s="13">
        <f>'Calf Info'!D16</f>
        <v>6</v>
      </c>
      <c r="L23" t="s">
        <v>498</v>
      </c>
      <c r="M23">
        <f>0.13*M21*M22</f>
        <v>466.80298836263489</v>
      </c>
    </row>
    <row r="24" spans="2:13">
      <c r="C24" t="s">
        <v>476</v>
      </c>
      <c r="D24">
        <f>IF(G26=1,1,1.15)</f>
        <v>1</v>
      </c>
      <c r="G24">
        <f>VLOOKUP(G23,A64:F71,6)</f>
        <v>1</v>
      </c>
      <c r="L24" t="s">
        <v>500</v>
      </c>
      <c r="M24">
        <f>0.64*M23</f>
        <v>298.75391255208632</v>
      </c>
    </row>
    <row r="25" spans="2:13">
      <c r="C25" t="s">
        <v>396</v>
      </c>
      <c r="E25" s="2">
        <f>('Ration Formulation'!C26/2.2 - E23)*('Ration Formulation'!G11*2.2)</f>
        <v>5.7511122401824091</v>
      </c>
      <c r="G25" t="s">
        <v>477</v>
      </c>
      <c r="L25" t="s">
        <v>501</v>
      </c>
      <c r="M25">
        <f>M20+M24</f>
        <v>794.56144974788504</v>
      </c>
    </row>
    <row r="26" spans="2:13">
      <c r="C26" t="s">
        <v>397</v>
      </c>
      <c r="E26">
        <f>5*1.61</f>
        <v>8.0500000000000007</v>
      </c>
      <c r="G26" s="13">
        <f>'Calf Info'!D10</f>
        <v>1</v>
      </c>
    </row>
    <row r="27" spans="2:13">
      <c r="C27" t="s">
        <v>398</v>
      </c>
      <c r="E27">
        <f>0.25*2.54</f>
        <v>0.63500000000000001</v>
      </c>
    </row>
    <row r="28" spans="2:13">
      <c r="C28" t="s">
        <v>388</v>
      </c>
      <c r="E28">
        <v>1</v>
      </c>
      <c r="F28" t="s">
        <v>494</v>
      </c>
    </row>
    <row r="29" spans="2:13">
      <c r="C29" t="s">
        <v>404</v>
      </c>
      <c r="E29" s="2">
        <f>0.09*(('Calf Info'!D13+'Calf Info'!D22)/2/2.2*0.96)^0.67</f>
        <v>3.814936970118608</v>
      </c>
    </row>
    <row r="30" spans="2:13">
      <c r="C30" t="s">
        <v>403</v>
      </c>
      <c r="E30" s="2">
        <f>(('Ration Formulation'!G9*'Ration Formulation'!C26)-'calf req'!E25)/E29</f>
        <v>3.5895063510808205</v>
      </c>
    </row>
    <row r="31" spans="2:13">
      <c r="C31" t="s">
        <v>399</v>
      </c>
      <c r="E31" s="3">
        <f>(7.36-0.296*E26+2.55*E27)*E28</f>
        <v>6.5964499999999999</v>
      </c>
    </row>
    <row r="32" spans="2:13">
      <c r="C32" t="s">
        <v>400</v>
      </c>
      <c r="E32" s="3">
        <f>IF(E31&lt;0,0,E31)</f>
        <v>6.5964499999999999</v>
      </c>
    </row>
    <row r="33" spans="2:12">
      <c r="C33" t="s">
        <v>402</v>
      </c>
      <c r="E33">
        <f>IF('Calf Info'!D12*30&lt;31,2.5,IF(AND('Calf Info'!D12*30&gt;30,'Calf Info'!D12*30&lt;184),6.5,IF(AND('Calf Info'!D12*30&gt;183,'Calf Info'!D12*30&lt;364),5.1875+(0.3125*'Calf Info'!D14),5.25+(0.75*'Calf Info'!D14))))</f>
        <v>6.75</v>
      </c>
    </row>
    <row r="34" spans="2:12">
      <c r="C34" t="s">
        <v>406</v>
      </c>
      <c r="E34" s="3">
        <f>E33+E32</f>
        <v>13.346450000000001</v>
      </c>
    </row>
    <row r="35" spans="2:12">
      <c r="C35" t="s">
        <v>405</v>
      </c>
      <c r="E35" s="2">
        <f>39-(E34*E30*0.85)</f>
        <v>-1.7210919834752261</v>
      </c>
    </row>
    <row r="36" spans="2:12">
      <c r="C36" t="s">
        <v>407</v>
      </c>
      <c r="E36">
        <v>20</v>
      </c>
    </row>
    <row r="37" spans="2:12">
      <c r="C37" t="s">
        <v>408</v>
      </c>
      <c r="E37">
        <f>IF(E35&gt;E36,E29*(E35-E36)/E34,0)</f>
        <v>0</v>
      </c>
    </row>
    <row r="38" spans="2:12">
      <c r="C38" t="s">
        <v>409</v>
      </c>
      <c r="E38">
        <f>0.576*E37</f>
        <v>0</v>
      </c>
    </row>
    <row r="39" spans="2:12">
      <c r="C39" t="s">
        <v>410</v>
      </c>
      <c r="E39">
        <v>1.07</v>
      </c>
    </row>
    <row r="41" spans="2:12">
      <c r="C41" t="s">
        <v>368</v>
      </c>
      <c r="D41" t="s">
        <v>319</v>
      </c>
      <c r="E41" s="2">
        <f>IF(E36&lt;30,(E21+E38)*1.045,(E21*E39)*1.045)</f>
        <v>5.3351884794155389</v>
      </c>
      <c r="F41" t="s">
        <v>414</v>
      </c>
      <c r="G41" s="14" t="s">
        <v>535</v>
      </c>
    </row>
    <row r="43" spans="2:12">
      <c r="B43" s="6" t="s">
        <v>415</v>
      </c>
      <c r="H43" t="s">
        <v>455</v>
      </c>
      <c r="I43" t="s">
        <v>456</v>
      </c>
      <c r="J43" t="s">
        <v>457</v>
      </c>
      <c r="K43" t="s">
        <v>458</v>
      </c>
    </row>
    <row r="44" spans="2:12">
      <c r="C44" t="s">
        <v>419</v>
      </c>
      <c r="E44" s="7">
        <f>('Calf Info'!D13+'Calf Info'!D22)/2/2.2*0.96</f>
        <v>268.36363636363632</v>
      </c>
      <c r="I44">
        <f>E44*0.0154/0.5</f>
        <v>8.2655999999999992</v>
      </c>
      <c r="J44">
        <f>E51*0.071/0.5</f>
        <v>29.277209480366785</v>
      </c>
      <c r="K44">
        <f>I44+J44</f>
        <v>37.542809480366785</v>
      </c>
      <c r="L44" t="s">
        <v>413</v>
      </c>
    </row>
    <row r="45" spans="2:12">
      <c r="C45" t="s">
        <v>421</v>
      </c>
      <c r="E45" s="5">
        <f>('Calf Info'!D21)/2.2*0.96</f>
        <v>1.3090909090909089</v>
      </c>
      <c r="F45" t="s">
        <v>423</v>
      </c>
    </row>
    <row r="46" spans="2:12">
      <c r="C46" t="s">
        <v>416</v>
      </c>
      <c r="E46" s="7">
        <f>E44*0.891</f>
        <v>239.11199999999997</v>
      </c>
      <c r="H46" t="s">
        <v>459</v>
      </c>
      <c r="I46">
        <f>0.016*E44/0.68</f>
        <v>6.314438502673795</v>
      </c>
      <c r="J46">
        <f>E51*0.045/0.68</f>
        <v>13.644101352697859</v>
      </c>
      <c r="K46">
        <f>I46+J46</f>
        <v>19.958539855371654</v>
      </c>
      <c r="L46" t="s">
        <v>413</v>
      </c>
    </row>
    <row r="47" spans="2:12">
      <c r="C47" t="s">
        <v>417</v>
      </c>
      <c r="E47" s="5">
        <f>E45*0.956</f>
        <v>1.2514909090909088</v>
      </c>
      <c r="F47" t="s">
        <v>423</v>
      </c>
    </row>
    <row r="48" spans="2:12">
      <c r="C48" t="s">
        <v>418</v>
      </c>
      <c r="E48" s="3">
        <f>E44*(478/('Calf Info'!D18*0.96/2.2))</f>
        <v>235.17599999999999</v>
      </c>
    </row>
    <row r="49" spans="1:8">
      <c r="C49" t="s">
        <v>383</v>
      </c>
      <c r="E49" s="3">
        <f>E48*0.891</f>
        <v>209.54181599999998</v>
      </c>
    </row>
    <row r="50" spans="1:8">
      <c r="C50" t="s">
        <v>396</v>
      </c>
      <c r="E50" s="2">
        <f>0.0635*E49^0.75*E47^1.097*1.1</f>
        <v>4.9203684382477819</v>
      </c>
      <c r="F50" t="s">
        <v>414</v>
      </c>
      <c r="G50" t="s">
        <v>427</v>
      </c>
    </row>
    <row r="51" spans="1:8">
      <c r="C51" t="s">
        <v>420</v>
      </c>
      <c r="E51" s="3">
        <f>E45*(268-(29.4*(E50/E45)))</f>
        <v>206.17753155187879</v>
      </c>
    </row>
    <row r="52" spans="1:8">
      <c r="C52" t="s">
        <v>422</v>
      </c>
      <c r="E52" s="3">
        <f>IF(E48&lt;301,(E51/(0.834-(E48*0.00114)))/0.67,(E51/0.492)/0.67)</f>
        <v>543.78513351323613</v>
      </c>
      <c r="F52" t="s">
        <v>413</v>
      </c>
      <c r="G52" t="s">
        <v>427</v>
      </c>
    </row>
    <row r="55" spans="1:8">
      <c r="B55" s="6" t="s">
        <v>428</v>
      </c>
    </row>
    <row r="56" spans="1:8">
      <c r="C56" t="s">
        <v>396</v>
      </c>
      <c r="E56" s="2">
        <f>'Ration Formulation'!H11</f>
        <v>5.5547718702886151</v>
      </c>
      <c r="F56" t="s">
        <v>414</v>
      </c>
    </row>
    <row r="57" spans="1:8">
      <c r="C57" t="s">
        <v>421</v>
      </c>
      <c r="E57">
        <f>13.91*E56^0.9116*E48^-0.6837</f>
        <v>1.5879742995555428</v>
      </c>
      <c r="F57" t="s">
        <v>424</v>
      </c>
    </row>
    <row r="58" spans="1:8">
      <c r="C58" t="s">
        <v>421</v>
      </c>
      <c r="E58">
        <f>E57*2.2</f>
        <v>3.4935434590221943</v>
      </c>
      <c r="F58" t="s">
        <v>425</v>
      </c>
      <c r="G58" s="14"/>
    </row>
    <row r="59" spans="1:8">
      <c r="C59" t="s">
        <v>426</v>
      </c>
      <c r="E59">
        <f>E58/0.95</f>
        <v>3.6774141673917837</v>
      </c>
      <c r="F59" t="s">
        <v>425</v>
      </c>
    </row>
    <row r="63" spans="1:8">
      <c r="B63" t="s">
        <v>464</v>
      </c>
      <c r="F63" t="s">
        <v>471</v>
      </c>
    </row>
    <row r="64" spans="1:8">
      <c r="A64">
        <v>1</v>
      </c>
      <c r="B64" t="s">
        <v>465</v>
      </c>
      <c r="F64">
        <v>1.1000000000000001</v>
      </c>
      <c r="H64" s="165" t="s">
        <v>572</v>
      </c>
    </row>
    <row r="65" spans="1:8">
      <c r="A65">
        <v>2</v>
      </c>
      <c r="B65" t="s">
        <v>466</v>
      </c>
      <c r="F65">
        <v>1.05</v>
      </c>
      <c r="H65" s="165" t="s">
        <v>573</v>
      </c>
    </row>
    <row r="66" spans="1:8">
      <c r="A66">
        <v>3</v>
      </c>
      <c r="B66" t="s">
        <v>468</v>
      </c>
      <c r="F66">
        <v>1</v>
      </c>
    </row>
    <row r="67" spans="1:8">
      <c r="A67">
        <v>4</v>
      </c>
      <c r="B67" t="s">
        <v>469</v>
      </c>
      <c r="F67">
        <v>1.05</v>
      </c>
    </row>
    <row r="68" spans="1:8">
      <c r="A68">
        <v>5</v>
      </c>
      <c r="B68" t="s">
        <v>470</v>
      </c>
      <c r="F68">
        <v>1.2</v>
      </c>
      <c r="H68" s="165" t="s">
        <v>574</v>
      </c>
    </row>
    <row r="69" spans="1:8">
      <c r="A69">
        <v>6</v>
      </c>
      <c r="B69" t="s">
        <v>467</v>
      </c>
      <c r="F69">
        <v>1</v>
      </c>
    </row>
    <row r="70" spans="1:8">
      <c r="A70">
        <v>7</v>
      </c>
      <c r="B70" t="s">
        <v>472</v>
      </c>
      <c r="F70">
        <v>1</v>
      </c>
    </row>
    <row r="71" spans="1:8">
      <c r="A71">
        <v>8</v>
      </c>
      <c r="B71" t="s">
        <v>473</v>
      </c>
      <c r="F71">
        <v>1</v>
      </c>
    </row>
    <row r="73" spans="1:8">
      <c r="B73" t="s">
        <v>478</v>
      </c>
    </row>
    <row r="74" spans="1:8">
      <c r="A74">
        <v>1</v>
      </c>
      <c r="B74" s="165" t="s">
        <v>571</v>
      </c>
    </row>
    <row r="75" spans="1:8">
      <c r="A75">
        <v>2</v>
      </c>
      <c r="B75" s="165" t="s">
        <v>567</v>
      </c>
    </row>
    <row r="78" spans="1:8">
      <c r="B78" t="s">
        <v>492</v>
      </c>
      <c r="D78" t="s">
        <v>493</v>
      </c>
    </row>
    <row r="79" spans="1:8">
      <c r="B79">
        <v>0.2</v>
      </c>
      <c r="D79">
        <v>5</v>
      </c>
    </row>
    <row r="80" spans="1:8">
      <c r="B80">
        <v>0.35</v>
      </c>
      <c r="D80">
        <v>10</v>
      </c>
    </row>
    <row r="81" spans="2:6">
      <c r="B81">
        <v>0.5</v>
      </c>
      <c r="D81">
        <v>15</v>
      </c>
    </row>
    <row r="82" spans="2:6">
      <c r="B82" s="9"/>
      <c r="C82" s="10"/>
      <c r="D82" s="10"/>
      <c r="E82" s="9"/>
      <c r="F82" s="9"/>
    </row>
    <row r="83" spans="2:6">
      <c r="B83" s="9"/>
      <c r="C83" s="10"/>
      <c r="D83" s="10"/>
      <c r="E83" s="9"/>
      <c r="F83" s="9"/>
    </row>
    <row r="84" spans="2:6">
      <c r="B84" s="9"/>
      <c r="C84" s="10"/>
      <c r="D84" s="9"/>
      <c r="E84" s="9"/>
      <c r="F84" s="9"/>
    </row>
    <row r="85" spans="2:6">
      <c r="B85" s="8"/>
      <c r="C85" s="8"/>
      <c r="D85" s="8"/>
      <c r="E85" s="8"/>
      <c r="F85" s="8"/>
    </row>
  </sheetData>
  <sheetProtection password="CB15"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AF65514"/>
  <sheetViews>
    <sheetView topLeftCell="A7" workbookViewId="0">
      <selection activeCell="F29" sqref="F29"/>
    </sheetView>
  </sheetViews>
  <sheetFormatPr defaultRowHeight="12.75"/>
  <cols>
    <col min="2" max="2" width="24.28515625" customWidth="1"/>
    <col min="4" max="4" width="7.85546875" bestFit="1" customWidth="1"/>
    <col min="8" max="8" width="10.140625" customWidth="1"/>
    <col min="9" max="10" width="8.28515625" customWidth="1"/>
    <col min="26" max="28" width="9.28515625" bestFit="1" customWidth="1"/>
    <col min="29" max="29" width="10.5703125" bestFit="1" customWidth="1"/>
    <col min="30" max="30" width="9.5703125" bestFit="1" customWidth="1"/>
    <col min="31" max="31" width="9.28515625" bestFit="1" customWidth="1"/>
    <col min="32" max="32" width="9.5703125" bestFit="1" customWidth="1"/>
  </cols>
  <sheetData>
    <row r="3" spans="1:32">
      <c r="C3" t="s">
        <v>374</v>
      </c>
      <c r="D3" t="s">
        <v>374</v>
      </c>
      <c r="E3" t="s">
        <v>374</v>
      </c>
      <c r="F3" t="s">
        <v>374</v>
      </c>
      <c r="G3" t="s">
        <v>366</v>
      </c>
      <c r="H3" t="s">
        <v>366</v>
      </c>
      <c r="I3" t="s">
        <v>366</v>
      </c>
      <c r="J3" t="s">
        <v>366</v>
      </c>
      <c r="K3" t="s">
        <v>343</v>
      </c>
      <c r="L3" t="s">
        <v>315</v>
      </c>
      <c r="M3" t="s">
        <v>317</v>
      </c>
      <c r="N3" t="s">
        <v>318</v>
      </c>
      <c r="O3" t="s">
        <v>484</v>
      </c>
      <c r="P3" t="s">
        <v>485</v>
      </c>
      <c r="Q3" t="s">
        <v>320</v>
      </c>
      <c r="R3" t="s">
        <v>322</v>
      </c>
      <c r="S3" t="s">
        <v>324</v>
      </c>
      <c r="T3" t="s">
        <v>325</v>
      </c>
      <c r="U3" t="s">
        <v>326</v>
      </c>
      <c r="V3" t="s">
        <v>327</v>
      </c>
      <c r="W3" t="s">
        <v>328</v>
      </c>
      <c r="X3" t="s">
        <v>329</v>
      </c>
      <c r="Y3" t="s">
        <v>330</v>
      </c>
      <c r="Z3" t="s">
        <v>331</v>
      </c>
      <c r="AA3" t="s">
        <v>332</v>
      </c>
      <c r="AB3" t="s">
        <v>333</v>
      </c>
      <c r="AC3" t="s">
        <v>334</v>
      </c>
      <c r="AD3" t="s">
        <v>486</v>
      </c>
      <c r="AE3" t="s">
        <v>335</v>
      </c>
      <c r="AF3" t="s">
        <v>336</v>
      </c>
    </row>
    <row r="4" spans="1:32">
      <c r="A4" t="s">
        <v>307</v>
      </c>
      <c r="B4" t="s">
        <v>365</v>
      </c>
      <c r="C4" t="s">
        <v>506</v>
      </c>
      <c r="D4" t="s">
        <v>509</v>
      </c>
      <c r="E4" t="s">
        <v>508</v>
      </c>
      <c r="F4" t="s">
        <v>454</v>
      </c>
      <c r="G4" t="s">
        <v>314</v>
      </c>
      <c r="H4" t="s">
        <v>507</v>
      </c>
      <c r="I4" t="s">
        <v>509</v>
      </c>
      <c r="J4" t="s">
        <v>314</v>
      </c>
      <c r="K4" t="s">
        <v>314</v>
      </c>
      <c r="L4" t="s">
        <v>314</v>
      </c>
      <c r="M4" t="s">
        <v>314</v>
      </c>
      <c r="N4" t="s">
        <v>367</v>
      </c>
      <c r="O4" t="s">
        <v>367</v>
      </c>
      <c r="P4" t="s">
        <v>367</v>
      </c>
      <c r="Q4" t="s">
        <v>314</v>
      </c>
      <c r="R4" t="s">
        <v>314</v>
      </c>
      <c r="S4" t="s">
        <v>314</v>
      </c>
      <c r="T4" t="s">
        <v>314</v>
      </c>
      <c r="U4" t="s">
        <v>314</v>
      </c>
      <c r="V4" t="s">
        <v>314</v>
      </c>
      <c r="W4" t="s">
        <v>314</v>
      </c>
      <c r="X4" t="s">
        <v>314</v>
      </c>
      <c r="Y4" t="s">
        <v>314</v>
      </c>
      <c r="Z4" t="s">
        <v>340</v>
      </c>
      <c r="AA4" t="s">
        <v>340</v>
      </c>
      <c r="AB4" t="s">
        <v>340</v>
      </c>
      <c r="AC4" t="s">
        <v>340</v>
      </c>
      <c r="AD4" t="s">
        <v>340</v>
      </c>
      <c r="AE4" t="s">
        <v>340</v>
      </c>
      <c r="AF4" t="s">
        <v>340</v>
      </c>
    </row>
    <row r="5" spans="1:32">
      <c r="A5">
        <f>'Ration Formulation'!A7</f>
        <v>145</v>
      </c>
      <c r="B5" t="str">
        <f>'Ration Formulation'!B7</f>
        <v>COTTONSEED HULLS</v>
      </c>
      <c r="C5" s="3">
        <f>IF(A5=0,0,'Ration Formulation'!C7)</f>
        <v>15</v>
      </c>
      <c r="D5" s="5">
        <f>C5/$C$20</f>
        <v>0.15</v>
      </c>
      <c r="E5" s="3">
        <f t="shared" ref="E5:E19" si="0">IF(C5=0,0,H5/G5*100)</f>
        <v>2.3926102736952259</v>
      </c>
      <c r="F5" s="2">
        <f>IF(A5 = 0, 0,'Ration Formulation'!D7/100*E5)</f>
        <v>0</v>
      </c>
      <c r="G5">
        <f>IF(A5 = 0, 0,VLOOKUP(A5,'Feeds List'!$A$6:$AF$289,7))</f>
        <v>90</v>
      </c>
      <c r="H5">
        <f>'Ration Formulation'!C$26*I5</f>
        <v>2.1533492463257033</v>
      </c>
      <c r="I5" s="2">
        <f>J5/$J$20</f>
        <v>0.14917127071823205</v>
      </c>
      <c r="J5" s="2">
        <f t="shared" ref="J5:J19" si="1">D5*G5</f>
        <v>13.5</v>
      </c>
      <c r="K5">
        <f>IF(A5 = 0, 0,(VLOOKUP(A5,'Feeds List'!$A$6:$AF$289,8))*I5)</f>
        <v>13.127071823204421</v>
      </c>
      <c r="L5">
        <f>IF(A5 = 0, 0,(VLOOKUP(A5,'Feeds List'!$A$6:$AF$289,9))*I5)</f>
        <v>11.187845303867404</v>
      </c>
      <c r="M5">
        <f>IF(A5 = 0, 0,(VLOOKUP(A5,'Feeds List'!$A$6:$AF$289,10))*I5)</f>
        <v>7.4585635359116029</v>
      </c>
      <c r="N5">
        <f>IF(A5 = 0, 0,(VLOOKUP(A5,'Feeds List'!$A$6:$AF$289,11))*I5)</f>
        <v>0.12257064289301856</v>
      </c>
      <c r="O5">
        <f>IF(A5 = 0, 0,(VLOOKUP(A5,'Feeds List'!$A$6:$AF$289,12))*I5)</f>
        <v>6.5608979289478633E-2</v>
      </c>
      <c r="P5">
        <f>IF(A5 = 0, 0,(VLOOKUP(A5,'Feeds List'!$A$6:$AF$289,13))*I5)</f>
        <v>2.8505186040302007E-2</v>
      </c>
      <c r="Q5">
        <f>IF(A5 = 0, 0,(VLOOKUP(A5,'Feeds List'!$A$6:$AF$289,14))*I5)</f>
        <v>0.6265193370165747</v>
      </c>
      <c r="R5">
        <f>IF(A5 = 0, 0,(VLOOKUP(A5,'Feeds List'!$A$6:$AF$289,15))*I5)</f>
        <v>7.4585635359116029</v>
      </c>
      <c r="S5">
        <f>IF(A5 = 0, 0,(VLOOKUP(A5,'Feeds List'!$A$6:$AF$289,16))*I5)</f>
        <v>0.25359116022099448</v>
      </c>
      <c r="T5">
        <f>IF(A5 = 0, 0,(VLOOKUP(A5,'Feeds List'!$A$6:$AF$289,17))*I5)</f>
        <v>2.2375690607734807E-2</v>
      </c>
      <c r="U5">
        <f>IF(A5 = 0, 0,(VLOOKUP(A5,'Feeds List'!$A$6:$AF$289,18))*I5)</f>
        <v>1.3425414364640884E-2</v>
      </c>
      <c r="V5">
        <f>IF(A5 = 0, 0,(VLOOKUP(A5,'Feeds List'!$A$6:$AF$289,19))*I5)</f>
        <v>0</v>
      </c>
      <c r="W5">
        <f>IF(A5 = 0, 0,(VLOOKUP(A5,'Feeds List'!$A$6:$AF$289,20))*I5)</f>
        <v>0</v>
      </c>
      <c r="X5">
        <f>IF(A5 = 0, 0,(VLOOKUP(A5,'Feeds List'!$A$6:$AF$289,21))*I5)</f>
        <v>0</v>
      </c>
      <c r="Y5">
        <f>IF(A5 = 0, 0,(VLOOKUP(A5,'Feeds List'!$A$6:$AF$289,22))*I5)</f>
        <v>0</v>
      </c>
      <c r="Z5" s="3">
        <f>IF(A5 = 0, 0,(VLOOKUP(A5,'Feeds List'!$A$6:$AF$289,23))*(I5))</f>
        <v>0</v>
      </c>
      <c r="AA5" s="3">
        <f>IF(A5 = 0, 0,(VLOOKUP(A5,'Feeds List'!$A$6:$AF$289,24))*(I5))</f>
        <v>0</v>
      </c>
      <c r="AB5" s="3">
        <f>IF(A5 = 0, 0,(VLOOKUP(A5,'Feeds List'!$A$6:$AF$289,25))*(I5))</f>
        <v>0</v>
      </c>
      <c r="AC5" s="3">
        <f>IF(A5 = 0, 0,(VLOOKUP(A5,'Feeds List'!$A$6:$AF$289,26))*(I5))</f>
        <v>0</v>
      </c>
      <c r="AD5" s="3">
        <f>IF(A5 = 0, 0,(VLOOKUP(A5,'Feeds List'!$A$6:$AF$289,27))*(I5))</f>
        <v>0</v>
      </c>
      <c r="AE5" s="3">
        <f>IF(A5 = 0, 0,(VLOOKUP(A5,'Feeds List'!$A$6:$AF$289,28))*(I5))</f>
        <v>0</v>
      </c>
      <c r="AF5" s="3">
        <f>IF(A5 = 0, 0,(VLOOKUP(A5,'Feeds List'!$A$6:$AF$289,29))*(I5))</f>
        <v>0</v>
      </c>
    </row>
    <row r="6" spans="1:32">
      <c r="A6">
        <f>'Ration Formulation'!A8</f>
        <v>405</v>
      </c>
      <c r="B6" t="str">
        <f>'Ration Formulation'!B8</f>
        <v>Corn Grain Cracked</v>
      </c>
      <c r="C6" s="3">
        <f>IF(A6=0,0,'Ration Formulation'!C8)</f>
        <v>0</v>
      </c>
      <c r="D6" s="5">
        <f t="shared" ref="D6:D19" si="2">C6/$C$20</f>
        <v>0</v>
      </c>
      <c r="E6" s="3">
        <f t="shared" si="0"/>
        <v>0</v>
      </c>
      <c r="F6" s="2">
        <f>IF(A6 = 0, 0,'Ration Formulation'!D8/100*E6)</f>
        <v>0</v>
      </c>
      <c r="G6">
        <f>IF(A6 = 0, 0,VLOOKUP(A6,'Feeds List'!$A$6:$AF$289,7))</f>
        <v>88</v>
      </c>
      <c r="H6">
        <f>'Ration Formulation'!C$26*I6</f>
        <v>0</v>
      </c>
      <c r="I6" s="2">
        <f>J6/$J$20</f>
        <v>0</v>
      </c>
      <c r="J6" s="2">
        <f t="shared" si="1"/>
        <v>0</v>
      </c>
      <c r="K6">
        <f>IF(A6 = 0, 0,(VLOOKUP(A6,'Feeds List'!$A$6:$AF$289,8))*I6)</f>
        <v>0</v>
      </c>
      <c r="L6">
        <f>IF(A6 = 0, 0,(VLOOKUP(A6,'Feeds List'!$A$6:$AF$289,9))*I6)</f>
        <v>0</v>
      </c>
      <c r="M6">
        <f>IF(A6 = 0, 0,(VLOOKUP(A6,'Feeds List'!$A$6:$AF$289,10))*I6)</f>
        <v>0</v>
      </c>
      <c r="N6">
        <f>IF(A6 = 0, 0,(VLOOKUP(A6,'Feeds List'!$A$6:$AF$289,11))*I6)</f>
        <v>0</v>
      </c>
      <c r="O6">
        <f>IF(A6 = 0, 0,(VLOOKUP(A6,'Feeds List'!$A$6:$AF$289,12))*I6)</f>
        <v>0</v>
      </c>
      <c r="P6">
        <f>IF(A6 = 0, 0,(VLOOKUP(A6,'Feeds List'!$A$6:$AF$289,13))*I6)</f>
        <v>0</v>
      </c>
      <c r="Q6">
        <f>IF(A6 = 0, 0,(VLOOKUP(A6,'Feeds List'!$A$6:$AF$289,14))*I6)</f>
        <v>0</v>
      </c>
      <c r="R6">
        <f>IF(A6 = 0, 0,(VLOOKUP(A6,'Feeds List'!$A$6:$AF$289,15))*I6)</f>
        <v>0</v>
      </c>
      <c r="S6">
        <f>IF(A6 = 0, 0,(VLOOKUP(A6,'Feeds List'!$A$6:$AF$289,16))*I6)</f>
        <v>0</v>
      </c>
      <c r="T6">
        <f>IF(A6 = 0, 0,(VLOOKUP(A6,'Feeds List'!$A$6:$AF$289,17))*I6)</f>
        <v>0</v>
      </c>
      <c r="U6">
        <f>IF(A6 = 0, 0,(VLOOKUP(A6,'Feeds List'!$A$6:$AF$289,18))*I6)</f>
        <v>0</v>
      </c>
      <c r="V6">
        <f>IF(A6 = 0, 0,(VLOOKUP(A6,'Feeds List'!$A$6:$AF$289,19))*I6)</f>
        <v>0</v>
      </c>
      <c r="W6">
        <f>IF(A6 = 0, 0,(VLOOKUP(A6,'Feeds List'!$A$6:$AF$289,20))*I6)</f>
        <v>0</v>
      </c>
      <c r="X6">
        <f>IF(A6 = 0, 0,(VLOOKUP(A6,'Feeds List'!$A$6:$AF$289,21))*I6)</f>
        <v>0</v>
      </c>
      <c r="Y6">
        <f>IF(A6 = 0, 0,(VLOOKUP(A6,'Feeds List'!$A$6:$AF$289,22))*I6)</f>
        <v>0</v>
      </c>
      <c r="Z6" s="3">
        <f>IF(A6 = 0, 0,(VLOOKUP(A6,'Feeds List'!$A$6:$AF$289,23))*(I6))</f>
        <v>0</v>
      </c>
      <c r="AA6" s="3">
        <f>IF(A6 = 0, 0,(VLOOKUP(A6,'Feeds List'!$A$6:$AF$289,24))*(I6))</f>
        <v>0</v>
      </c>
      <c r="AB6" s="3">
        <f>IF(A6 = 0, 0,(VLOOKUP(A6,'Feeds List'!$A$6:$AF$289,25))*(I6))</f>
        <v>0</v>
      </c>
      <c r="AC6" s="3">
        <f>IF(A6 = 0, 0,(VLOOKUP(A6,'Feeds List'!$A$6:$AF$289,26))*(I6))</f>
        <v>0</v>
      </c>
      <c r="AD6" s="3">
        <f>IF(A6 = 0, 0,(VLOOKUP(A6,'Feeds List'!$A$6:$AF$289,27))*(I6))</f>
        <v>0</v>
      </c>
      <c r="AE6" s="3">
        <f>IF(A6 = 0, 0,(VLOOKUP(A6,'Feeds List'!$A$6:$AF$289,28))*(I6))</f>
        <v>0</v>
      </c>
      <c r="AF6" s="3">
        <f>IF(A6 = 0, 0,(VLOOKUP(A6,'Feeds List'!$A$6:$AF$289,29))*(I6))</f>
        <v>0</v>
      </c>
    </row>
    <row r="7" spans="1:32">
      <c r="A7">
        <f>'Ration Formulation'!A9</f>
        <v>404</v>
      </c>
      <c r="B7" t="str">
        <f>'Ration Formulation'!B9</f>
        <v>Corn Hominy</v>
      </c>
      <c r="C7" s="3">
        <f>IF(A7=0,0,'Ration Formulation'!C9)</f>
        <v>53</v>
      </c>
      <c r="D7" s="5">
        <f t="shared" si="2"/>
        <v>0.53</v>
      </c>
      <c r="E7" s="3">
        <f t="shared" si="0"/>
        <v>8.4538896337231311</v>
      </c>
      <c r="F7" s="2">
        <f>IF(A7 = 0, 0,'Ration Formulation'!D9/100*E7)</f>
        <v>0</v>
      </c>
      <c r="G7">
        <f>IF(A7 = 0, 0,VLOOKUP(A7,'Feeds List'!$A$6:$AF$289,7))</f>
        <v>90</v>
      </c>
      <c r="H7">
        <f>'Ration Formulation'!C$26*I7</f>
        <v>7.6085006703508187</v>
      </c>
      <c r="I7" s="2">
        <f>J7/$J$20</f>
        <v>0.52707182320441992</v>
      </c>
      <c r="J7" s="2">
        <f t="shared" si="1"/>
        <v>47.7</v>
      </c>
      <c r="K7">
        <f>IF(A7 = 0, 0,(VLOOKUP(A7,'Feeds List'!$A$6:$AF$289,8))*I7)</f>
        <v>12.122651933701658</v>
      </c>
      <c r="L7">
        <f>IF(A7 = 0, 0,(VLOOKUP(A7,'Feeds List'!$A$6:$AF$289,9))*I7)</f>
        <v>4.7436464088397789</v>
      </c>
      <c r="M7">
        <f>IF(A7 = 0, 0,(VLOOKUP(A7,'Feeds List'!$A$6:$AF$289,10))*I7)</f>
        <v>47.963535911602214</v>
      </c>
      <c r="N7">
        <f>IF(A7 = 0, 0,(VLOOKUP(A7,'Feeds List'!$A$6:$AF$289,11))*I7)</f>
        <v>0.78821094756403831</v>
      </c>
      <c r="O7">
        <f>IF(A7 = 0, 0,(VLOOKUP(A7,'Feeds List'!$A$6:$AF$289,12))*I7)</f>
        <v>0.54324079647814461</v>
      </c>
      <c r="P7">
        <f>IF(A7 = 0, 0,(VLOOKUP(A7,'Feeds List'!$A$6:$AF$289,13))*I7)</f>
        <v>0.37682317360110823</v>
      </c>
      <c r="Q7">
        <f>IF(A7 = 0, 0,(VLOOKUP(A7,'Feeds List'!$A$6:$AF$289,14))*I7)</f>
        <v>6.0613259668508288</v>
      </c>
      <c r="R7">
        <f>IF(A7 = 0, 0,(VLOOKUP(A7,'Feeds List'!$A$6:$AF$289,15))*I7)</f>
        <v>25.031709403317368</v>
      </c>
      <c r="S7">
        <f>IF(A7 = 0, 0,(VLOOKUP(A7,'Feeds List'!$A$6:$AF$289,16))*I7)</f>
        <v>3.8476243093922653</v>
      </c>
      <c r="T7">
        <f>IF(A7 = 0, 0,(VLOOKUP(A7,'Feeds List'!$A$6:$AF$289,17))*I7)</f>
        <v>2.6353591160220999E-2</v>
      </c>
      <c r="U7">
        <f>IF(A7 = 0, 0,(VLOOKUP(A7,'Feeds List'!$A$6:$AF$289,18))*I7)</f>
        <v>0.30043093922651931</v>
      </c>
      <c r="V7">
        <f>IF(A7 = 0, 0,(VLOOKUP(A7,'Feeds List'!$A$6:$AF$289,19))*I7)</f>
        <v>0.13703867403314918</v>
      </c>
      <c r="W7">
        <f>IF(A7 = 0, 0,(VLOOKUP(A7,'Feeds List'!$A$6:$AF$289,20))*I7)</f>
        <v>0.34259668508287294</v>
      </c>
      <c r="X7">
        <f>IF(A7 = 0, 0,(VLOOKUP(A7,'Feeds List'!$A$6:$AF$289,21))*I7)</f>
        <v>4.7436464088397794E-2</v>
      </c>
      <c r="Y7">
        <f>IF(A7 = 0, 0,(VLOOKUP(A7,'Feeds List'!$A$6:$AF$289,22))*I7)</f>
        <v>1.5812154696132598E-2</v>
      </c>
      <c r="Z7" s="3">
        <f>IF(A7 = 0, 0,(VLOOKUP(A7,'Feeds List'!$A$6:$AF$289,23))*(I7))</f>
        <v>3.2151381215469614E-2</v>
      </c>
      <c r="AA7" s="3">
        <f>IF(A7 = 0, 0,(VLOOKUP(A7,'Feeds List'!$A$6:$AF$289,24))*(I7))</f>
        <v>7.9587845303867404</v>
      </c>
      <c r="AB7" s="3">
        <f>IF(A7 = 0, 0,(VLOOKUP(A7,'Feeds List'!$A$6:$AF$289,25))*(I7))</f>
        <v>0</v>
      </c>
      <c r="AC7" s="3">
        <f>IF(A7 = 0, 0,(VLOOKUP(A7,'Feeds List'!$A$6:$AF$289,26))*(I7))</f>
        <v>42.165745856353595</v>
      </c>
      <c r="AD7" s="3">
        <f>IF(A7 = 0, 0,(VLOOKUP(A7,'Feeds List'!$A$6:$AF$289,27))*(I7))</f>
        <v>8.4858563535911617</v>
      </c>
      <c r="AE7" s="3">
        <f>IF(A7 = 0, 0,(VLOOKUP(A7,'Feeds List'!$A$6:$AF$289,28))*(I7))</f>
        <v>0</v>
      </c>
      <c r="AF7" s="3">
        <f>IF(A7 = 0, 0,(VLOOKUP(A7,'Feeds List'!$A$6:$AF$289,29))*(I7))</f>
        <v>0</v>
      </c>
    </row>
    <row r="8" spans="1:32">
      <c r="A8">
        <f>'Ration Formulation'!A10</f>
        <v>510</v>
      </c>
      <c r="B8" t="str">
        <f>'Ration Formulation'!B10</f>
        <v>Distillers Gr. Dehy - Inter.</v>
      </c>
      <c r="C8" s="3">
        <f>IF(A8=0,0,'Ration Formulation'!C10)</f>
        <v>30</v>
      </c>
      <c r="D8" s="5">
        <f t="shared" si="2"/>
        <v>0.3</v>
      </c>
      <c r="E8" s="3">
        <f t="shared" si="0"/>
        <v>4.7852205473904519</v>
      </c>
      <c r="F8" s="2">
        <f>IF(A8 = 0, 0,'Ration Formulation'!D10/100*E8)</f>
        <v>0</v>
      </c>
      <c r="G8">
        <f>IF(A8 = 0, 0,VLOOKUP(A8,'Feeds List'!$A$6:$AF$289,7))</f>
        <v>91</v>
      </c>
      <c r="H8">
        <f>'Ration Formulation'!C$26*I8</f>
        <v>4.354550698125311</v>
      </c>
      <c r="I8" s="2">
        <f>J8/$J$20</f>
        <v>0.30165745856353593</v>
      </c>
      <c r="J8" s="2">
        <f t="shared" si="1"/>
        <v>27.3</v>
      </c>
      <c r="K8">
        <f>IF(A8 = 0, 0,(VLOOKUP(A8,'Feeds List'!$A$6:$AF$289,8))*I8)</f>
        <v>13.876243093922653</v>
      </c>
      <c r="L8">
        <f>IF(A8 = 0, 0,(VLOOKUP(A8,'Feeds List'!$A$6:$AF$289,9))*I8)</f>
        <v>1.2066298342541437</v>
      </c>
      <c r="M8">
        <f>IF(A8 = 0, 0,(VLOOKUP(A8,'Feeds List'!$A$6:$AF$289,10))*I8)</f>
        <v>26.545856353591162</v>
      </c>
      <c r="N8">
        <f>IF(A8 = 0, 0,(VLOOKUP(A8,'Feeds List'!$A$6:$AF$289,11))*I8)</f>
        <v>0.43624253701657456</v>
      </c>
      <c r="O8">
        <f>IF(A8 = 0, 0,(VLOOKUP(A8,'Feeds List'!$A$6:$AF$289,12))*I8)</f>
        <v>0.29891318899699448</v>
      </c>
      <c r="P8">
        <f>IF(A8 = 0, 0,(VLOOKUP(A8,'Feeds List'!$A$6:$AF$289,13))*I8)</f>
        <v>0.20559486809558905</v>
      </c>
      <c r="Q8">
        <f>IF(A8 = 0, 0,(VLOOKUP(A8,'Feeds List'!$A$6:$AF$289,14))*I8)</f>
        <v>9.1703867403314927</v>
      </c>
      <c r="R8">
        <f>IF(A8 = 0, 0,(VLOOKUP(A8,'Feeds List'!$A$6:$AF$289,15))*I8)</f>
        <v>7.9486968564411375</v>
      </c>
      <c r="S8">
        <f>IF(A8 = 0, 0,(VLOOKUP(A8,'Feeds List'!$A$6:$AF$289,16))*I8)</f>
        <v>3.2277348066298344</v>
      </c>
      <c r="T8">
        <f>IF(A8 = 0, 0,(VLOOKUP(A8,'Feeds List'!$A$6:$AF$289,17))*I8)</f>
        <v>7.843093922651935E-2</v>
      </c>
      <c r="U8">
        <f>IF(A8 = 0, 0,(VLOOKUP(A8,'Feeds List'!$A$6:$AF$289,18))*I8)</f>
        <v>0.25037569060773479</v>
      </c>
      <c r="V8">
        <f>IF(A8 = 0, 0,(VLOOKUP(A8,'Feeds List'!$A$6:$AF$289,19))*I8)</f>
        <v>9.9546961325966868E-2</v>
      </c>
      <c r="W8">
        <f>IF(A8 = 0, 0,(VLOOKUP(A8,'Feeds List'!$A$6:$AF$289,20))*I8)</f>
        <v>0.32579005524861882</v>
      </c>
      <c r="X8">
        <f>IF(A8 = 0, 0,(VLOOKUP(A8,'Feeds List'!$A$6:$AF$289,21))*I8)</f>
        <v>9.0497237569060779E-2</v>
      </c>
      <c r="Y8">
        <f>IF(A8 = 0, 0,(VLOOKUP(A8,'Feeds List'!$A$6:$AF$289,22))*I8)</f>
        <v>0.13272928176795581</v>
      </c>
      <c r="Z8" s="3">
        <f>IF(A8 = 0, 0,(VLOOKUP(A8,'Feeds List'!$A$6:$AF$289,23))*(I8))</f>
        <v>5.4298342541436465E-2</v>
      </c>
      <c r="AA8" s="3">
        <f>IF(A8 = 0, 0,(VLOOKUP(A8,'Feeds List'!$A$6:$AF$289,24))*(I8))</f>
        <v>3.1975690607734806</v>
      </c>
      <c r="AB8" s="3">
        <f>IF(A8 = 0, 0,(VLOOKUP(A8,'Feeds List'!$A$6:$AF$289,25))*(I8))</f>
        <v>2.5640883977900555E-2</v>
      </c>
      <c r="AC8" s="3">
        <f>IF(A8 = 0, 0,(VLOOKUP(A8,'Feeds List'!$A$6:$AF$289,26))*(I8))</f>
        <v>107.99337016574586</v>
      </c>
      <c r="AD8" s="3">
        <f>IF(A8 = 0, 0,(VLOOKUP(A8,'Feeds List'!$A$6:$AF$289,27))*(I8))</f>
        <v>8.325745856353592</v>
      </c>
      <c r="AE8" s="3">
        <f>IF(A8 = 0, 0,(VLOOKUP(A8,'Feeds List'!$A$6:$AF$289,28))*(I8))</f>
        <v>0.12066298342541437</v>
      </c>
      <c r="AF8" s="3">
        <f>IF(A8 = 0, 0,(VLOOKUP(A8,'Feeds List'!$A$6:$AF$289,29))*(I8))</f>
        <v>20.452375690607735</v>
      </c>
    </row>
    <row r="9" spans="1:32">
      <c r="A9">
        <f>'Ration Formulation'!A11</f>
        <v>812</v>
      </c>
      <c r="B9" t="str">
        <f>'Ration Formulation'!B11</f>
        <v xml:space="preserve">Limestone  </v>
      </c>
      <c r="C9" s="3">
        <f>IF(A9=0,0,'Ration Formulation'!C11)</f>
        <v>2</v>
      </c>
      <c r="D9" s="5">
        <f t="shared" si="2"/>
        <v>0.02</v>
      </c>
      <c r="E9" s="3">
        <f t="shared" si="0"/>
        <v>0.31901470315936342</v>
      </c>
      <c r="F9" s="2">
        <f>IF(A9 = 0, 0,'Ration Formulation'!D11/100*E9)</f>
        <v>0</v>
      </c>
      <c r="G9">
        <f>IF(A9 = 0, 0,VLOOKUP(A9,'Feeds List'!$A$6:$AF$289,7))</f>
        <v>100</v>
      </c>
      <c r="H9">
        <f>'Ration Formulation'!C$26*I9</f>
        <v>0.31901470315936342</v>
      </c>
      <c r="I9" s="2">
        <f t="shared" ref="I9:I19" si="3">J9/$J$20</f>
        <v>2.2099447513812154E-2</v>
      </c>
      <c r="J9" s="2">
        <f t="shared" si="1"/>
        <v>2</v>
      </c>
      <c r="K9">
        <f>IF(A9 = 0, 0,(VLOOKUP(A9,'Feeds List'!$A$6:$AF$289,8))*I9)</f>
        <v>0</v>
      </c>
      <c r="L9">
        <f>IF(A9 = 0, 0,(VLOOKUP(A9,'Feeds List'!$A$6:$AF$289,9))*I9)</f>
        <v>0</v>
      </c>
      <c r="M9">
        <f>IF(A9 = 0, 0,(VLOOKUP(A9,'Feeds List'!$A$6:$AF$289,10))*I9)</f>
        <v>0</v>
      </c>
      <c r="N9">
        <f>IF(A9 = 0, 0,(VLOOKUP(A9,'Feeds List'!$A$6:$AF$289,11))*I9)</f>
        <v>0</v>
      </c>
      <c r="O9">
        <f>IF(A9 = 0, 0,(VLOOKUP(A9,'Feeds List'!$A$6:$AF$289,12))*I9)</f>
        <v>0</v>
      </c>
      <c r="P9">
        <f>IF(A9 = 0, 0,(VLOOKUP(A9,'Feeds List'!$A$6:$AF$289,13))*I9)</f>
        <v>0</v>
      </c>
      <c r="Q9">
        <f>IF(A9 = 0, 0,(VLOOKUP(A9,'Feeds List'!$A$6:$AF$289,14))*I9)</f>
        <v>0</v>
      </c>
      <c r="R9">
        <f>IF(A9 = 0, 0,(VLOOKUP(A9,'Feeds List'!$A$6:$AF$289,15))*I9)</f>
        <v>0</v>
      </c>
      <c r="S9">
        <f>IF(A9 = 0, 0,(VLOOKUP(A9,'Feeds List'!$A$6:$AF$289,16))*I9)</f>
        <v>0</v>
      </c>
      <c r="T9">
        <f>IF(A9 = 0, 0,(VLOOKUP(A9,'Feeds List'!$A$6:$AF$289,17))*I9)</f>
        <v>0.75138121546961323</v>
      </c>
      <c r="U9">
        <f>IF(A9 = 0, 0,(VLOOKUP(A9,'Feeds List'!$A$6:$AF$289,18))*I9)</f>
        <v>4.419889502762431E-4</v>
      </c>
      <c r="V9">
        <f>IF(A9 = 0, 0,(VLOOKUP(A9,'Feeds List'!$A$6:$AF$289,19))*I9)</f>
        <v>4.5524861878453039E-2</v>
      </c>
      <c r="W9">
        <f>IF(A9 = 0, 0,(VLOOKUP(A9,'Feeds List'!$A$6:$AF$289,20))*I9)</f>
        <v>2.6519337016574582E-3</v>
      </c>
      <c r="X9">
        <f>IF(A9 = 0, 0,(VLOOKUP(A9,'Feeds List'!$A$6:$AF$289,21))*I9)</f>
        <v>1.3259668508287291E-3</v>
      </c>
      <c r="Y9">
        <f>IF(A9 = 0, 0,(VLOOKUP(A9,'Feeds List'!$A$6:$AF$289,22))*I9)</f>
        <v>8.8397790055248619E-4</v>
      </c>
      <c r="Z9" s="3">
        <f>IF(A9 = 0, 0,(VLOOKUP(A9,'Feeds List'!$A$6:$AF$289,23))*(I9))</f>
        <v>0</v>
      </c>
      <c r="AA9" s="3">
        <f>IF(A9 = 0, 0,(VLOOKUP(A9,'Feeds List'!$A$6:$AF$289,24))*(I9))</f>
        <v>0</v>
      </c>
      <c r="AB9" s="3">
        <f>IF(A9 = 0, 0,(VLOOKUP(A9,'Feeds List'!$A$6:$AF$289,25))*(I9))</f>
        <v>0</v>
      </c>
      <c r="AC9" s="3">
        <f>IF(A9 = 0, 0,(VLOOKUP(A9,'Feeds List'!$A$6:$AF$289,26))*(I9))</f>
        <v>77.348066298342545</v>
      </c>
      <c r="AD9" s="3">
        <f>IF(A9 = 0, 0,(VLOOKUP(A9,'Feeds List'!$A$6:$AF$289,27))*(I9))</f>
        <v>0</v>
      </c>
      <c r="AE9" s="3">
        <f>IF(A9 = 0, 0,(VLOOKUP(A9,'Feeds List'!$A$6:$AF$289,28))*(I9))</f>
        <v>0</v>
      </c>
      <c r="AF9" s="3">
        <f>IF(A9 = 0, 0,(VLOOKUP(A9,'Feeds List'!$A$6:$AF$289,29))*(I9))</f>
        <v>0</v>
      </c>
    </row>
    <row r="10" spans="1:32">
      <c r="A10">
        <f>'Ration Formulation'!A12</f>
        <v>0</v>
      </c>
      <c r="B10" t="str">
        <f>'Ration Formulation'!B12</f>
        <v/>
      </c>
      <c r="C10" s="3">
        <f>IF(A10=0,0,'Ration Formulation'!C12)</f>
        <v>0</v>
      </c>
      <c r="D10" s="5">
        <f t="shared" si="2"/>
        <v>0</v>
      </c>
      <c r="E10" s="3">
        <f t="shared" si="0"/>
        <v>0</v>
      </c>
      <c r="F10" s="2">
        <f>IF(A10 = 0, 0,'Ration Formulation'!D12/100*E10)</f>
        <v>0</v>
      </c>
      <c r="G10">
        <f>IF(A10 = 0, 0,VLOOKUP(A10,'Feeds List'!$A$6:$AF$289,7))</f>
        <v>0</v>
      </c>
      <c r="H10">
        <f>'Ration Formulation'!C$26*I10</f>
        <v>0</v>
      </c>
      <c r="I10" s="2">
        <f t="shared" si="3"/>
        <v>0</v>
      </c>
      <c r="J10" s="2">
        <f t="shared" si="1"/>
        <v>0</v>
      </c>
      <c r="K10">
        <f>IF(A10 = 0, 0,(VLOOKUP(A10,'Feeds List'!$A$6:$AF$289,8))*I10)</f>
        <v>0</v>
      </c>
      <c r="L10">
        <f>IF(A10 = 0, 0,(VLOOKUP(A10,'Feeds List'!$A$6:$AF$289,9))*I10)</f>
        <v>0</v>
      </c>
      <c r="M10">
        <f>IF(A10 = 0, 0,(VLOOKUP(A10,'Feeds List'!$A$6:$AF$289,10))*I10)</f>
        <v>0</v>
      </c>
      <c r="N10">
        <f>IF(A10 = 0, 0,(VLOOKUP(A10,'Feeds List'!$A$6:$AF$289,11))*I10)</f>
        <v>0</v>
      </c>
      <c r="O10">
        <f>IF(A10 = 0, 0,(VLOOKUP(A10,'Feeds List'!$A$6:$AF$289,12))*I10)</f>
        <v>0</v>
      </c>
      <c r="P10">
        <f>IF(A10 = 0, 0,(VLOOKUP(A10,'Feeds List'!$A$6:$AF$289,13))*I10)</f>
        <v>0</v>
      </c>
      <c r="Q10">
        <f>IF(A10 = 0, 0,(VLOOKUP(A10,'Feeds List'!$A$6:$AF$289,14))*I10)</f>
        <v>0</v>
      </c>
      <c r="R10">
        <f>IF(A10 = 0, 0,(VLOOKUP(A10,'Feeds List'!$A$6:$AF$289,15))*I10)</f>
        <v>0</v>
      </c>
      <c r="S10">
        <f>IF(A10 = 0, 0,(VLOOKUP(A10,'Feeds List'!$A$6:$AF$289,16))*I10)</f>
        <v>0</v>
      </c>
      <c r="T10">
        <f>IF(A10 = 0, 0,(VLOOKUP(A10,'Feeds List'!$A$6:$AF$289,17))*I10)</f>
        <v>0</v>
      </c>
      <c r="U10">
        <f>IF(A10 = 0, 0,(VLOOKUP(A10,'Feeds List'!$A$6:$AF$289,18))*I10)</f>
        <v>0</v>
      </c>
      <c r="V10">
        <f>IF(A10 = 0, 0,(VLOOKUP(A10,'Feeds List'!$A$6:$AF$289,19))*I10)</f>
        <v>0</v>
      </c>
      <c r="W10">
        <f>IF(A10 = 0, 0,(VLOOKUP(A10,'Feeds List'!$A$6:$AF$289,20))*I10)</f>
        <v>0</v>
      </c>
      <c r="X10">
        <f>IF(A10 = 0, 0,(VLOOKUP(A10,'Feeds List'!$A$6:$AF$289,21))*I10)</f>
        <v>0</v>
      </c>
      <c r="Y10">
        <f>IF(A10 = 0, 0,(VLOOKUP(A10,'Feeds List'!$A$6:$AF$289,22))*I10)</f>
        <v>0</v>
      </c>
      <c r="Z10" s="3">
        <f>IF(A10 = 0, 0,(VLOOKUP(A10,'Feeds List'!$A$6:$AF$289,23))*(I10))</f>
        <v>0</v>
      </c>
      <c r="AA10" s="3">
        <f>IF(A10 = 0, 0,(VLOOKUP(A10,'Feeds List'!$A$6:$AF$289,24))*(I10))</f>
        <v>0</v>
      </c>
      <c r="AB10" s="3">
        <f>IF(A10 = 0, 0,(VLOOKUP(A10,'Feeds List'!$A$6:$AF$289,25))*(I10))</f>
        <v>0</v>
      </c>
      <c r="AC10" s="3">
        <f>IF(A10 = 0, 0,(VLOOKUP(A10,'Feeds List'!$A$6:$AF$289,26))*(I10))</f>
        <v>0</v>
      </c>
      <c r="AD10" s="3">
        <f>IF(A10 = 0, 0,(VLOOKUP(A10,'Feeds List'!$A$6:$AF$289,27))*(I10))</f>
        <v>0</v>
      </c>
      <c r="AE10" s="3">
        <f>IF(A10 = 0, 0,(VLOOKUP(A10,'Feeds List'!$A$6:$AF$289,28))*(I10))</f>
        <v>0</v>
      </c>
      <c r="AF10" s="3">
        <f>IF(A10 = 0, 0,(VLOOKUP(A10,'Feeds List'!$A$6:$AF$289,29))*(I10))</f>
        <v>0</v>
      </c>
    </row>
    <row r="11" spans="1:32">
      <c r="A11">
        <f>'Ration Formulation'!A13</f>
        <v>0</v>
      </c>
      <c r="B11" t="str">
        <f>'Ration Formulation'!B13</f>
        <v/>
      </c>
      <c r="C11" s="3">
        <f>IF(A11=0,0,'Ration Formulation'!C13)</f>
        <v>0</v>
      </c>
      <c r="D11" s="5">
        <f t="shared" si="2"/>
        <v>0</v>
      </c>
      <c r="E11" s="3">
        <f t="shared" si="0"/>
        <v>0</v>
      </c>
      <c r="F11" s="2">
        <f>IF(A11 = 0, 0,'Ration Formulation'!D13/100*E11)</f>
        <v>0</v>
      </c>
      <c r="G11">
        <f>IF(A11 = 0, 0,VLOOKUP(A11,'Feeds List'!$A$6:$AF$289,7))</f>
        <v>0</v>
      </c>
      <c r="H11">
        <f>'Ration Formulation'!C$26*I11</f>
        <v>0</v>
      </c>
      <c r="I11" s="2">
        <f t="shared" si="3"/>
        <v>0</v>
      </c>
      <c r="J11" s="2">
        <f t="shared" si="1"/>
        <v>0</v>
      </c>
      <c r="K11">
        <f>IF(A11 = 0, 0,(VLOOKUP(A11,'Feeds List'!$A$6:$AF$289,8))*I11)</f>
        <v>0</v>
      </c>
      <c r="L11">
        <f>IF(A11 = 0, 0,(VLOOKUP(A11,'Feeds List'!$A$6:$AF$289,9))*I11)</f>
        <v>0</v>
      </c>
      <c r="M11">
        <f>IF(A11 = 0, 0,(VLOOKUP(A11,'Feeds List'!$A$6:$AF$289,10))*I11)</f>
        <v>0</v>
      </c>
      <c r="N11">
        <f>IF(A11 = 0, 0,(VLOOKUP(A11,'Feeds List'!$A$6:$AF$289,11))*I11)</f>
        <v>0</v>
      </c>
      <c r="O11">
        <f>IF(A11 = 0, 0,(VLOOKUP(A11,'Feeds List'!$A$6:$AF$289,12))*I11)</f>
        <v>0</v>
      </c>
      <c r="P11">
        <f>IF(A11 = 0, 0,(VLOOKUP(A11,'Feeds List'!$A$6:$AF$289,13))*I11)</f>
        <v>0</v>
      </c>
      <c r="Q11">
        <f>IF(A11 = 0, 0,(VLOOKUP(A11,'Feeds List'!$A$6:$AF$289,14))*I11)</f>
        <v>0</v>
      </c>
      <c r="R11">
        <f>IF(A11 = 0, 0,(VLOOKUP(A11,'Feeds List'!$A$6:$AF$289,15))*I11)</f>
        <v>0</v>
      </c>
      <c r="S11">
        <f>IF(A11 = 0, 0,(VLOOKUP(A11,'Feeds List'!$A$6:$AF$289,16))*I11)</f>
        <v>0</v>
      </c>
      <c r="T11">
        <f>IF(A11 = 0, 0,(VLOOKUP(A11,'Feeds List'!$A$6:$AF$289,17))*I11)</f>
        <v>0</v>
      </c>
      <c r="U11">
        <f>IF(A11 = 0, 0,(VLOOKUP(A11,'Feeds List'!$A$6:$AF$289,18))*I11)</f>
        <v>0</v>
      </c>
      <c r="V11">
        <f>IF(A11 = 0, 0,(VLOOKUP(A11,'Feeds List'!$A$6:$AF$289,19))*I11)</f>
        <v>0</v>
      </c>
      <c r="W11">
        <f>IF(A11 = 0, 0,(VLOOKUP(A11,'Feeds List'!$A$6:$AF$289,20))*I11)</f>
        <v>0</v>
      </c>
      <c r="X11">
        <f>IF(A11 = 0, 0,(VLOOKUP(A11,'Feeds List'!$A$6:$AF$289,21))*I11)</f>
        <v>0</v>
      </c>
      <c r="Y11">
        <f>IF(A11 = 0, 0,(VLOOKUP(A11,'Feeds List'!$A$6:$AF$289,22))*I11)</f>
        <v>0</v>
      </c>
      <c r="Z11" s="3">
        <f>IF(A11 = 0, 0,(VLOOKUP(A11,'Feeds List'!$A$6:$AF$289,23))*(I11))</f>
        <v>0</v>
      </c>
      <c r="AA11" s="3">
        <f>IF(A11 = 0, 0,(VLOOKUP(A11,'Feeds List'!$A$6:$AF$289,24))*(I11))</f>
        <v>0</v>
      </c>
      <c r="AB11" s="3">
        <f>IF(A11 = 0, 0,(VLOOKUP(A11,'Feeds List'!$A$6:$AF$289,25))*(I11))</f>
        <v>0</v>
      </c>
      <c r="AC11" s="3">
        <f>IF(A11 = 0, 0,(VLOOKUP(A11,'Feeds List'!$A$6:$AF$289,26))*(I11))</f>
        <v>0</v>
      </c>
      <c r="AD11" s="3">
        <f>IF(A11 = 0, 0,(VLOOKUP(A11,'Feeds List'!$A$6:$AF$289,27))*(I11))</f>
        <v>0</v>
      </c>
      <c r="AE11" s="3">
        <f>IF(A11 = 0, 0,(VLOOKUP(A11,'Feeds List'!$A$6:$AF$289,28))*(I11))</f>
        <v>0</v>
      </c>
      <c r="AF11" s="3">
        <f>IF(A11 = 0, 0,(VLOOKUP(A11,'Feeds List'!$A$6:$AF$289,29))*(I11))</f>
        <v>0</v>
      </c>
    </row>
    <row r="12" spans="1:32">
      <c r="A12">
        <f>'Ration Formulation'!A14</f>
        <v>0</v>
      </c>
      <c r="B12" t="str">
        <f>'Ration Formulation'!B14</f>
        <v/>
      </c>
      <c r="C12" s="3">
        <f>IF(A12=0,0,'Ration Formulation'!C14)</f>
        <v>0</v>
      </c>
      <c r="D12" s="5">
        <f t="shared" si="2"/>
        <v>0</v>
      </c>
      <c r="E12" s="3">
        <f t="shared" si="0"/>
        <v>0</v>
      </c>
      <c r="F12" s="2">
        <f>IF(A12 = 0, 0,'Ration Formulation'!D14/100*E12)</f>
        <v>0</v>
      </c>
      <c r="G12">
        <f>IF(A12 = 0, 0,VLOOKUP(A12,'Feeds List'!$A$6:$AF$289,7))</f>
        <v>0</v>
      </c>
      <c r="H12">
        <f>'Ration Formulation'!C$26*I12</f>
        <v>0</v>
      </c>
      <c r="I12" s="2">
        <f t="shared" si="3"/>
        <v>0</v>
      </c>
      <c r="J12" s="2">
        <f t="shared" si="1"/>
        <v>0</v>
      </c>
      <c r="K12">
        <f>IF(A12 = 0, 0,(VLOOKUP(A12,'Feeds List'!$A$6:$AF$289,8))*I12)</f>
        <v>0</v>
      </c>
      <c r="L12">
        <f>IF(A12 = 0, 0,(VLOOKUP(A12,'Feeds List'!$A$6:$AF$289,9))*I12)</f>
        <v>0</v>
      </c>
      <c r="M12">
        <f>IF(A12 = 0, 0,(VLOOKUP(A12,'Feeds List'!$A$6:$AF$289,10))*I12)</f>
        <v>0</v>
      </c>
      <c r="N12">
        <f>IF(A12 = 0, 0,(VLOOKUP(A12,'Feeds List'!$A$6:$AF$289,11))*I12)</f>
        <v>0</v>
      </c>
      <c r="O12">
        <f>IF(A12 = 0, 0,(VLOOKUP(A12,'Feeds List'!$A$6:$AF$289,12))*I12)</f>
        <v>0</v>
      </c>
      <c r="P12">
        <f>IF(A12 = 0, 0,(VLOOKUP(A12,'Feeds List'!$A$6:$AF$289,13))*I12)</f>
        <v>0</v>
      </c>
      <c r="Q12">
        <f>IF(A12 = 0, 0,(VLOOKUP(A12,'Feeds List'!$A$6:$AF$289,14))*I12)</f>
        <v>0</v>
      </c>
      <c r="R12">
        <f>IF(A12 = 0, 0,(VLOOKUP(A12,'Feeds List'!$A$6:$AF$289,15))*I12)</f>
        <v>0</v>
      </c>
      <c r="S12">
        <f>IF(A12 = 0, 0,(VLOOKUP(A12,'Feeds List'!$A$6:$AF$289,16))*I12)</f>
        <v>0</v>
      </c>
      <c r="T12">
        <f>IF(A12 = 0, 0,(VLOOKUP(A12,'Feeds List'!$A$6:$AF$289,17))*I12)</f>
        <v>0</v>
      </c>
      <c r="U12">
        <f>IF(A12 = 0, 0,(VLOOKUP(A12,'Feeds List'!$A$6:$AF$289,18))*I12)</f>
        <v>0</v>
      </c>
      <c r="V12">
        <f>IF(A12 = 0, 0,(VLOOKUP(A12,'Feeds List'!$A$6:$AF$289,19))*I12)</f>
        <v>0</v>
      </c>
      <c r="W12">
        <f>IF(A12 = 0, 0,(VLOOKUP(A12,'Feeds List'!$A$6:$AF$289,20))*I12)</f>
        <v>0</v>
      </c>
      <c r="X12">
        <f>IF(A12 = 0, 0,(VLOOKUP(A12,'Feeds List'!$A$6:$AF$289,21))*I12)</f>
        <v>0</v>
      </c>
      <c r="Y12">
        <f>IF(A12 = 0, 0,(VLOOKUP(A12,'Feeds List'!$A$6:$AF$289,22))*I12)</f>
        <v>0</v>
      </c>
      <c r="Z12" s="3">
        <f>IF(A12 = 0, 0,(VLOOKUP(A12,'Feeds List'!$A$6:$AF$289,23))*(I12))</f>
        <v>0</v>
      </c>
      <c r="AA12" s="3">
        <f>IF(A12 = 0, 0,(VLOOKUP(A12,'Feeds List'!$A$6:$AF$289,24))*(I12))</f>
        <v>0</v>
      </c>
      <c r="AB12" s="3">
        <f>IF(A12 = 0, 0,(VLOOKUP(A12,'Feeds List'!$A$6:$AF$289,25))*(I12))</f>
        <v>0</v>
      </c>
      <c r="AC12" s="3">
        <f>IF(A12 = 0, 0,(VLOOKUP(A12,'Feeds List'!$A$6:$AF$289,26))*(I12))</f>
        <v>0</v>
      </c>
      <c r="AD12" s="3">
        <f>IF(A12 = 0, 0,(VLOOKUP(A12,'Feeds List'!$A$6:$AF$289,27))*(I12))</f>
        <v>0</v>
      </c>
      <c r="AE12" s="3">
        <f>IF(A12 = 0, 0,(VLOOKUP(A12,'Feeds List'!$A$6:$AF$289,28))*(I12))</f>
        <v>0</v>
      </c>
      <c r="AF12" s="3">
        <f>IF(A12 = 0, 0,(VLOOKUP(A12,'Feeds List'!$A$6:$AF$289,29))*(I12))</f>
        <v>0</v>
      </c>
    </row>
    <row r="13" spans="1:32">
      <c r="A13">
        <f>'Ration Formulation'!A15</f>
        <v>0</v>
      </c>
      <c r="B13" t="str">
        <f>'Ration Formulation'!B15</f>
        <v/>
      </c>
      <c r="C13" s="3">
        <f>IF(A13=0,0,'Ration Formulation'!C15)</f>
        <v>0</v>
      </c>
      <c r="D13" s="5">
        <f t="shared" si="2"/>
        <v>0</v>
      </c>
      <c r="E13" s="3">
        <f t="shared" si="0"/>
        <v>0</v>
      </c>
      <c r="F13" s="2">
        <f>IF(A13 = 0, 0,'Ration Formulation'!D15/100*E13)</f>
        <v>0</v>
      </c>
      <c r="G13">
        <f>IF(A13 = 0, 0,VLOOKUP(A13,'Feeds List'!$A$6:$AF$289,7))</f>
        <v>0</v>
      </c>
      <c r="H13">
        <f>'Ration Formulation'!C$26*I13</f>
        <v>0</v>
      </c>
      <c r="I13" s="2">
        <f t="shared" si="3"/>
        <v>0</v>
      </c>
      <c r="J13" s="2">
        <f t="shared" si="1"/>
        <v>0</v>
      </c>
      <c r="K13">
        <f>IF(A13 = 0, 0,(VLOOKUP(A13,'Feeds List'!$A$6:$AF$289,8))*I13)</f>
        <v>0</v>
      </c>
      <c r="L13">
        <f>IF(A13 = 0, 0,(VLOOKUP(A13,'Feeds List'!$A$6:$AF$289,9))*I13)</f>
        <v>0</v>
      </c>
      <c r="M13">
        <f>IF(A13 = 0, 0,(VLOOKUP(A13,'Feeds List'!$A$6:$AF$289,10))*I13)</f>
        <v>0</v>
      </c>
      <c r="N13">
        <f>IF(A13 = 0, 0,(VLOOKUP(A13,'Feeds List'!$A$6:$AF$289,11))*I13)</f>
        <v>0</v>
      </c>
      <c r="O13">
        <f>IF(A13 = 0, 0,(VLOOKUP(A13,'Feeds List'!$A$6:$AF$289,12))*I13)</f>
        <v>0</v>
      </c>
      <c r="P13">
        <f>IF(A13 = 0, 0,(VLOOKUP(A13,'Feeds List'!$A$6:$AF$289,13))*I13)</f>
        <v>0</v>
      </c>
      <c r="Q13">
        <f>IF(A13 = 0, 0,(VLOOKUP(A13,'Feeds List'!$A$6:$AF$289,14))*I13)</f>
        <v>0</v>
      </c>
      <c r="R13">
        <f>IF(A13 = 0, 0,(VLOOKUP(A13,'Feeds List'!$A$6:$AF$289,15))*I13)</f>
        <v>0</v>
      </c>
      <c r="S13">
        <f>IF(A13 = 0, 0,(VLOOKUP(A13,'Feeds List'!$A$6:$AF$289,16))*I13)</f>
        <v>0</v>
      </c>
      <c r="T13">
        <f>IF(A13 = 0, 0,(VLOOKUP(A13,'Feeds List'!$A$6:$AF$289,17))*I13)</f>
        <v>0</v>
      </c>
      <c r="U13">
        <f>IF(A13 = 0, 0,(VLOOKUP(A13,'Feeds List'!$A$6:$AF$289,18))*I13)</f>
        <v>0</v>
      </c>
      <c r="V13">
        <f>IF(A13 = 0, 0,(VLOOKUP(A13,'Feeds List'!$A$6:$AF$289,19))*I13)</f>
        <v>0</v>
      </c>
      <c r="W13">
        <f>IF(A13 = 0, 0,(VLOOKUP(A13,'Feeds List'!$A$6:$AF$289,20))*I13)</f>
        <v>0</v>
      </c>
      <c r="X13">
        <f>IF(A13 = 0, 0,(VLOOKUP(A13,'Feeds List'!$A$6:$AF$289,21))*I13)</f>
        <v>0</v>
      </c>
      <c r="Y13">
        <f>IF(A13 = 0, 0,(VLOOKUP(A13,'Feeds List'!$A$6:$AF$289,22))*I13)</f>
        <v>0</v>
      </c>
      <c r="Z13" s="3">
        <f>IF(A13 = 0, 0,(VLOOKUP(A13,'Feeds List'!$A$6:$AF$289,23))*(I13))</f>
        <v>0</v>
      </c>
      <c r="AA13" s="3">
        <f>IF(A13 = 0, 0,(VLOOKUP(A13,'Feeds List'!$A$6:$AF$289,24))*(I13))</f>
        <v>0</v>
      </c>
      <c r="AB13" s="3">
        <f>IF(A13 = 0, 0,(VLOOKUP(A13,'Feeds List'!$A$6:$AF$289,25))*(I13))</f>
        <v>0</v>
      </c>
      <c r="AC13" s="3">
        <f>IF(A13 = 0, 0,(VLOOKUP(A13,'Feeds List'!$A$6:$AF$289,26))*(I13))</f>
        <v>0</v>
      </c>
      <c r="AD13" s="3">
        <f>IF(A13 = 0, 0,(VLOOKUP(A13,'Feeds List'!$A$6:$AF$289,27))*(I13))</f>
        <v>0</v>
      </c>
      <c r="AE13" s="3">
        <f>IF(A13 = 0, 0,(VLOOKUP(A13,'Feeds List'!$A$6:$AF$289,28))*(I13))</f>
        <v>0</v>
      </c>
      <c r="AF13" s="3">
        <f>IF(A13 = 0, 0,(VLOOKUP(A13,'Feeds List'!$A$6:$AF$289,29))*(I13))</f>
        <v>0</v>
      </c>
    </row>
    <row r="14" spans="1:32">
      <c r="A14">
        <f>'Ration Formulation'!A16</f>
        <v>0</v>
      </c>
      <c r="B14" t="str">
        <f>'Ration Formulation'!B16</f>
        <v/>
      </c>
      <c r="C14" s="3">
        <f>IF(A14=0,0,'Ration Formulation'!C16)</f>
        <v>0</v>
      </c>
      <c r="D14" s="5">
        <f t="shared" si="2"/>
        <v>0</v>
      </c>
      <c r="E14" s="3">
        <f t="shared" si="0"/>
        <v>0</v>
      </c>
      <c r="F14" s="2">
        <f>IF(A14 = 0, 0,'Ration Formulation'!D16/100*E14)</f>
        <v>0</v>
      </c>
      <c r="G14">
        <f>IF(A14 = 0, 0,VLOOKUP(A14,'Feeds List'!$A$6:$AF$289,7))</f>
        <v>0</v>
      </c>
      <c r="H14">
        <f>'Ration Formulation'!C$26*I14</f>
        <v>0</v>
      </c>
      <c r="I14" s="2">
        <f t="shared" si="3"/>
        <v>0</v>
      </c>
      <c r="J14" s="2">
        <f t="shared" si="1"/>
        <v>0</v>
      </c>
      <c r="K14">
        <f>IF(A14 = 0, 0,(VLOOKUP(A14,'Feeds List'!$A$6:$AF$289,8))*I14)</f>
        <v>0</v>
      </c>
      <c r="L14">
        <f>IF(A14 = 0, 0,(VLOOKUP(A14,'Feeds List'!$A$6:$AF$289,9))*I14)</f>
        <v>0</v>
      </c>
      <c r="M14">
        <f>IF(A14 = 0, 0,(VLOOKUP(A14,'Feeds List'!$A$6:$AF$289,10))*I14)</f>
        <v>0</v>
      </c>
      <c r="N14">
        <f>IF(A14 = 0, 0,(VLOOKUP(A14,'Feeds List'!$A$6:$AF$289,11))*I14)</f>
        <v>0</v>
      </c>
      <c r="O14">
        <f>IF(A14 = 0, 0,(VLOOKUP(A14,'Feeds List'!$A$6:$AF$289,12))*I14)</f>
        <v>0</v>
      </c>
      <c r="P14">
        <f>IF(A14 = 0, 0,(VLOOKUP(A14,'Feeds List'!$A$6:$AF$289,13))*I14)</f>
        <v>0</v>
      </c>
      <c r="Q14">
        <f>IF(A14 = 0, 0,(VLOOKUP(A14,'Feeds List'!$A$6:$AF$289,14))*I14)</f>
        <v>0</v>
      </c>
      <c r="R14">
        <f>IF(A14 = 0, 0,(VLOOKUP(A14,'Feeds List'!$A$6:$AF$289,15))*I14)</f>
        <v>0</v>
      </c>
      <c r="S14">
        <f>IF(A14 = 0, 0,(VLOOKUP(A14,'Feeds List'!$A$6:$AF$289,16))*I14)</f>
        <v>0</v>
      </c>
      <c r="T14">
        <f>IF(A14 = 0, 0,(VLOOKUP(A14,'Feeds List'!$A$6:$AF$289,17))*I14)</f>
        <v>0</v>
      </c>
      <c r="U14">
        <f>IF(A14 = 0, 0,(VLOOKUP(A14,'Feeds List'!$A$6:$AF$289,18))*I14)</f>
        <v>0</v>
      </c>
      <c r="V14">
        <f>IF(A14 = 0, 0,(VLOOKUP(A14,'Feeds List'!$A$6:$AF$289,19))*I14)</f>
        <v>0</v>
      </c>
      <c r="W14">
        <f>IF(A14 = 0, 0,(VLOOKUP(A14,'Feeds List'!$A$6:$AF$289,20))*I14)</f>
        <v>0</v>
      </c>
      <c r="X14">
        <f>IF(A14 = 0, 0,(VLOOKUP(A14,'Feeds List'!$A$6:$AF$289,21))*I14)</f>
        <v>0</v>
      </c>
      <c r="Y14">
        <f>IF(A14 = 0, 0,(VLOOKUP(A14,'Feeds List'!$A$6:$AF$289,22))*I14)</f>
        <v>0</v>
      </c>
      <c r="Z14" s="3">
        <f>IF(A14 = 0, 0,(VLOOKUP(A14,'Feeds List'!$A$6:$AF$289,23))*(I14))</f>
        <v>0</v>
      </c>
      <c r="AA14" s="3">
        <f>IF(A14 = 0, 0,(VLOOKUP(A14,'Feeds List'!$A$6:$AF$289,24))*(I14))</f>
        <v>0</v>
      </c>
      <c r="AB14" s="3">
        <f>IF(A14 = 0, 0,(VLOOKUP(A14,'Feeds List'!$A$6:$AF$289,25))*(I14))</f>
        <v>0</v>
      </c>
      <c r="AC14" s="3">
        <f>IF(A14 = 0, 0,(VLOOKUP(A14,'Feeds List'!$A$6:$AF$289,26))*(I14))</f>
        <v>0</v>
      </c>
      <c r="AD14" s="3">
        <f>IF(A14 = 0, 0,(VLOOKUP(A14,'Feeds List'!$A$6:$AF$289,27))*(I14))</f>
        <v>0</v>
      </c>
      <c r="AE14" s="3">
        <f>IF(A14 = 0, 0,(VLOOKUP(A14,'Feeds List'!$A$6:$AF$289,28))*(I14))</f>
        <v>0</v>
      </c>
      <c r="AF14" s="3">
        <f>IF(A14 = 0, 0,(VLOOKUP(A14,'Feeds List'!$A$6:$AF$289,29))*(I14))</f>
        <v>0</v>
      </c>
    </row>
    <row r="15" spans="1:32">
      <c r="A15">
        <f>'Ration Formulation'!A17</f>
        <v>0</v>
      </c>
      <c r="B15" t="str">
        <f>'Ration Formulation'!B17</f>
        <v/>
      </c>
      <c r="C15" s="3">
        <f>IF(A15=0,0,'Ration Formulation'!C17)</f>
        <v>0</v>
      </c>
      <c r="D15" s="5">
        <f t="shared" si="2"/>
        <v>0</v>
      </c>
      <c r="E15" s="3">
        <f t="shared" si="0"/>
        <v>0</v>
      </c>
      <c r="F15" s="2">
        <f>IF(A15 = 0, 0,'Ration Formulation'!D17/100*E15)</f>
        <v>0</v>
      </c>
      <c r="G15">
        <f>IF(A15 = 0, 0,VLOOKUP(A15,'Feeds List'!$A$6:$AF$289,7))</f>
        <v>0</v>
      </c>
      <c r="H15">
        <f>'Ration Formulation'!C$26*I15</f>
        <v>0</v>
      </c>
      <c r="I15" s="2">
        <f t="shared" si="3"/>
        <v>0</v>
      </c>
      <c r="J15" s="2">
        <f t="shared" si="1"/>
        <v>0</v>
      </c>
      <c r="K15">
        <f>IF(A15 = 0, 0,(VLOOKUP(A15,'Feeds List'!$A$6:$AF$289,8))*I15)</f>
        <v>0</v>
      </c>
      <c r="L15">
        <f>IF(A15 = 0, 0,(VLOOKUP(A15,'Feeds List'!$A$6:$AF$289,9))*I15)</f>
        <v>0</v>
      </c>
      <c r="M15">
        <f>IF(A15 = 0, 0,(VLOOKUP(A15,'Feeds List'!$A$6:$AF$289,10))*I15)</f>
        <v>0</v>
      </c>
      <c r="N15">
        <f>IF(A15 = 0, 0,(VLOOKUP(A15,'Feeds List'!$A$6:$AF$289,11))*I15)</f>
        <v>0</v>
      </c>
      <c r="O15">
        <f>IF(A15 = 0, 0,(VLOOKUP(A15,'Feeds List'!$A$6:$AF$289,12))*I15)</f>
        <v>0</v>
      </c>
      <c r="P15">
        <f>IF(A15 = 0, 0,(VLOOKUP(A15,'Feeds List'!$A$6:$AF$289,13))*I15)</f>
        <v>0</v>
      </c>
      <c r="Q15">
        <f>IF(A15 = 0, 0,(VLOOKUP(A15,'Feeds List'!$A$6:$AF$289,14))*I15)</f>
        <v>0</v>
      </c>
      <c r="R15">
        <f>IF(A15 = 0, 0,(VLOOKUP(A15,'Feeds List'!$A$6:$AF$289,15))*I15)</f>
        <v>0</v>
      </c>
      <c r="S15">
        <f>IF(A15 = 0, 0,(VLOOKUP(A15,'Feeds List'!$A$6:$AF$289,16))*I15)</f>
        <v>0</v>
      </c>
      <c r="T15">
        <f>IF(A15 = 0, 0,(VLOOKUP(A15,'Feeds List'!$A$6:$AF$289,17))*I15)</f>
        <v>0</v>
      </c>
      <c r="U15">
        <f>IF(A15 = 0, 0,(VLOOKUP(A15,'Feeds List'!$A$6:$AF$289,18))*I15)</f>
        <v>0</v>
      </c>
      <c r="V15">
        <f>IF(A15 = 0, 0,(VLOOKUP(A15,'Feeds List'!$A$6:$AF$289,19))*I15)</f>
        <v>0</v>
      </c>
      <c r="W15">
        <f>IF(A15 = 0, 0,(VLOOKUP(A15,'Feeds List'!$A$6:$AF$289,20))*I15)</f>
        <v>0</v>
      </c>
      <c r="X15">
        <f>IF(A15 = 0, 0,(VLOOKUP(A15,'Feeds List'!$A$6:$AF$289,21))*I15)</f>
        <v>0</v>
      </c>
      <c r="Y15">
        <f>IF(A15 = 0, 0,(VLOOKUP(A15,'Feeds List'!$A$6:$AF$289,22))*I15)</f>
        <v>0</v>
      </c>
      <c r="Z15" s="3">
        <f>IF(A15 = 0, 0,(VLOOKUP(A15,'Feeds List'!$A$6:$AF$289,23))*(I15))</f>
        <v>0</v>
      </c>
      <c r="AA15" s="3">
        <f>IF(A15 = 0, 0,(VLOOKUP(A15,'Feeds List'!$A$6:$AF$289,24))*(I15))</f>
        <v>0</v>
      </c>
      <c r="AB15" s="3">
        <f>IF(A15 = 0, 0,(VLOOKUP(A15,'Feeds List'!$A$6:$AF$289,25))*(I15))</f>
        <v>0</v>
      </c>
      <c r="AC15" s="3">
        <f>IF(A15 = 0, 0,(VLOOKUP(A15,'Feeds List'!$A$6:$AF$289,26))*(I15))</f>
        <v>0</v>
      </c>
      <c r="AD15" s="3">
        <f>IF(A15 = 0, 0,(VLOOKUP(A15,'Feeds List'!$A$6:$AF$289,27))*(I15))</f>
        <v>0</v>
      </c>
      <c r="AE15" s="3">
        <f>IF(A15 = 0, 0,(VLOOKUP(A15,'Feeds List'!$A$6:$AF$289,28))*(I15))</f>
        <v>0</v>
      </c>
      <c r="AF15" s="3">
        <f>IF(A15 = 0, 0,(VLOOKUP(A15,'Feeds List'!$A$6:$AF$289,29))*(I15))</f>
        <v>0</v>
      </c>
    </row>
    <row r="16" spans="1:32">
      <c r="A16">
        <f>'Ration Formulation'!A18</f>
        <v>0</v>
      </c>
      <c r="B16" t="str">
        <f>'Ration Formulation'!B18</f>
        <v/>
      </c>
      <c r="C16" s="3">
        <f>IF(A16=0,0,'Ration Formulation'!C18)</f>
        <v>0</v>
      </c>
      <c r="D16" s="5">
        <f t="shared" si="2"/>
        <v>0</v>
      </c>
      <c r="E16" s="3">
        <f t="shared" si="0"/>
        <v>0</v>
      </c>
      <c r="F16" s="2">
        <f>IF(A16 = 0, 0,'Ration Formulation'!D18/100*E16)</f>
        <v>0</v>
      </c>
      <c r="G16">
        <f>IF(A16 = 0, 0,VLOOKUP(A16,'Feeds List'!$A$6:$AF$289,7))</f>
        <v>0</v>
      </c>
      <c r="H16">
        <f>'Ration Formulation'!C$26*I16</f>
        <v>0</v>
      </c>
      <c r="I16" s="2">
        <f t="shared" si="3"/>
        <v>0</v>
      </c>
      <c r="J16" s="2">
        <f t="shared" si="1"/>
        <v>0</v>
      </c>
      <c r="K16">
        <f>IF(A16 = 0, 0,(VLOOKUP(A16,'Feeds List'!$A$6:$AF$289,8))*I16)</f>
        <v>0</v>
      </c>
      <c r="L16">
        <f>IF(A16 = 0, 0,(VLOOKUP(A16,'Feeds List'!$A$6:$AF$289,9))*I16)</f>
        <v>0</v>
      </c>
      <c r="M16">
        <f>IF(A16 = 0, 0,(VLOOKUP(A16,'Feeds List'!$A$6:$AF$289,10))*I16)</f>
        <v>0</v>
      </c>
      <c r="N16">
        <f>IF(A16 = 0, 0,(VLOOKUP(A16,'Feeds List'!$A$6:$AF$289,11))*I16)</f>
        <v>0</v>
      </c>
      <c r="O16">
        <f>IF(A16 = 0, 0,(VLOOKUP(A16,'Feeds List'!$A$6:$AF$289,12))*I16)</f>
        <v>0</v>
      </c>
      <c r="P16">
        <f>IF(A16 = 0, 0,(VLOOKUP(A16,'Feeds List'!$A$6:$AF$289,13))*I16)</f>
        <v>0</v>
      </c>
      <c r="Q16">
        <f>IF(A16 = 0, 0,(VLOOKUP(A16,'Feeds List'!$A$6:$AF$289,14))*I16)</f>
        <v>0</v>
      </c>
      <c r="R16">
        <f>IF(A16 = 0, 0,(VLOOKUP(A16,'Feeds List'!$A$6:$AF$289,15))*I16)</f>
        <v>0</v>
      </c>
      <c r="S16">
        <f>IF(A16 = 0, 0,(VLOOKUP(A16,'Feeds List'!$A$6:$AF$289,16))*I16)</f>
        <v>0</v>
      </c>
      <c r="T16">
        <f>IF(A16 = 0, 0,(VLOOKUP(A16,'Feeds List'!$A$6:$AF$289,17))*I16)</f>
        <v>0</v>
      </c>
      <c r="U16">
        <f>IF(A16 = 0, 0,(VLOOKUP(A16,'Feeds List'!$A$6:$AF$289,18))*I16)</f>
        <v>0</v>
      </c>
      <c r="V16">
        <f>IF(A16 = 0, 0,(VLOOKUP(A16,'Feeds List'!$A$6:$AF$289,19))*I16)</f>
        <v>0</v>
      </c>
      <c r="W16">
        <f>IF(A16 = 0, 0,(VLOOKUP(A16,'Feeds List'!$A$6:$AF$289,20))*I16)</f>
        <v>0</v>
      </c>
      <c r="X16">
        <f>IF(A16 = 0, 0,(VLOOKUP(A16,'Feeds List'!$A$6:$AF$289,21))*I16)</f>
        <v>0</v>
      </c>
      <c r="Y16">
        <f>IF(A16 = 0, 0,(VLOOKUP(A16,'Feeds List'!$A$6:$AF$289,22))*I16)</f>
        <v>0</v>
      </c>
      <c r="Z16" s="3">
        <f>IF(A16 = 0, 0,(VLOOKUP(A16,'Feeds List'!$A$6:$AF$289,23))*(I16))</f>
        <v>0</v>
      </c>
      <c r="AA16" s="3">
        <f>IF(A16 = 0, 0,(VLOOKUP(A16,'Feeds List'!$A$6:$AF$289,24))*(I16))</f>
        <v>0</v>
      </c>
      <c r="AB16" s="3">
        <f>IF(A16 = 0, 0,(VLOOKUP(A16,'Feeds List'!$A$6:$AF$289,25))*(I16))</f>
        <v>0</v>
      </c>
      <c r="AC16" s="3">
        <f>IF(A16 = 0, 0,(VLOOKUP(A16,'Feeds List'!$A$6:$AF$289,26))*(I16))</f>
        <v>0</v>
      </c>
      <c r="AD16" s="3">
        <f>IF(A16 = 0, 0,(VLOOKUP(A16,'Feeds List'!$A$6:$AF$289,27))*(I16))</f>
        <v>0</v>
      </c>
      <c r="AE16" s="3">
        <f>IF(A16 = 0, 0,(VLOOKUP(A16,'Feeds List'!$A$6:$AF$289,28))*(I16))</f>
        <v>0</v>
      </c>
      <c r="AF16" s="3">
        <f>IF(A16 = 0, 0,(VLOOKUP(A16,'Feeds List'!$A$6:$AF$289,29))*(I16))</f>
        <v>0</v>
      </c>
    </row>
    <row r="17" spans="1:32">
      <c r="A17">
        <f>'Ration Formulation'!A19</f>
        <v>0</v>
      </c>
      <c r="B17" t="str">
        <f>'Ration Formulation'!B19</f>
        <v/>
      </c>
      <c r="C17" s="3">
        <f>IF(A17=0,0,'Ration Formulation'!C19)</f>
        <v>0</v>
      </c>
      <c r="D17" s="5">
        <f t="shared" si="2"/>
        <v>0</v>
      </c>
      <c r="E17" s="3">
        <f t="shared" si="0"/>
        <v>0</v>
      </c>
      <c r="F17" s="2">
        <f>IF(A17 = 0, 0,'Ration Formulation'!D19/100*E17)</f>
        <v>0</v>
      </c>
      <c r="G17">
        <f>IF(A17 = 0, 0,VLOOKUP(A17,'Feeds List'!$A$6:$AF$289,7))</f>
        <v>0</v>
      </c>
      <c r="H17">
        <f>'Ration Formulation'!C$26*I17</f>
        <v>0</v>
      </c>
      <c r="I17" s="2">
        <f t="shared" si="3"/>
        <v>0</v>
      </c>
      <c r="J17" s="2">
        <f t="shared" si="1"/>
        <v>0</v>
      </c>
      <c r="K17">
        <f>IF(A17 = 0, 0,(VLOOKUP(A17,'Feeds List'!$A$6:$AF$289,8))*I17)</f>
        <v>0</v>
      </c>
      <c r="L17">
        <f>IF(A17 = 0, 0,(VLOOKUP(A17,'Feeds List'!$A$6:$AF$289,9))*I17)</f>
        <v>0</v>
      </c>
      <c r="M17">
        <f>IF(A17 = 0, 0,(VLOOKUP(A17,'Feeds List'!$A$6:$AF$289,10))*I17)</f>
        <v>0</v>
      </c>
      <c r="N17">
        <f>IF(A17 = 0, 0,(VLOOKUP(A17,'Feeds List'!$A$6:$AF$289,11))*I17)</f>
        <v>0</v>
      </c>
      <c r="O17">
        <f>IF(A17 = 0, 0,(VLOOKUP(A17,'Feeds List'!$A$6:$AF$289,12))*I17)</f>
        <v>0</v>
      </c>
      <c r="P17">
        <f>IF(A17 = 0, 0,(VLOOKUP(A17,'Feeds List'!$A$6:$AF$289,13))*I17)</f>
        <v>0</v>
      </c>
      <c r="Q17">
        <f>IF(A17 = 0, 0,(VLOOKUP(A17,'Feeds List'!$A$6:$AF$289,14))*I17)</f>
        <v>0</v>
      </c>
      <c r="R17">
        <f>IF(A17 = 0, 0,(VLOOKUP(A17,'Feeds List'!$A$6:$AF$289,15))*I17)</f>
        <v>0</v>
      </c>
      <c r="S17">
        <f>IF(A17 = 0, 0,(VLOOKUP(A17,'Feeds List'!$A$6:$AF$289,16))*I17)</f>
        <v>0</v>
      </c>
      <c r="T17">
        <f>IF(A17 = 0, 0,(VLOOKUP(A17,'Feeds List'!$A$6:$AF$289,17))*I17)</f>
        <v>0</v>
      </c>
      <c r="U17">
        <f>IF(A17 = 0, 0,(VLOOKUP(A17,'Feeds List'!$A$6:$AF$289,18))*I17)</f>
        <v>0</v>
      </c>
      <c r="V17">
        <f>IF(A17 = 0, 0,(VLOOKUP(A17,'Feeds List'!$A$6:$AF$289,19))*I17)</f>
        <v>0</v>
      </c>
      <c r="W17">
        <f>IF(A17 = 0, 0,(VLOOKUP(A17,'Feeds List'!$A$6:$AF$289,20))*I17)</f>
        <v>0</v>
      </c>
      <c r="X17">
        <f>IF(A17 = 0, 0,(VLOOKUP(A17,'Feeds List'!$A$6:$AF$289,21))*I17)</f>
        <v>0</v>
      </c>
      <c r="Y17">
        <f>IF(A17 = 0, 0,(VLOOKUP(A17,'Feeds List'!$A$6:$AF$289,22))*I17)</f>
        <v>0</v>
      </c>
      <c r="Z17" s="3">
        <f>IF(A17 = 0, 0,(VLOOKUP(A17,'Feeds List'!$A$6:$AF$289,23))*(I17))</f>
        <v>0</v>
      </c>
      <c r="AA17" s="3">
        <f>IF(A17 = 0, 0,(VLOOKUP(A17,'Feeds List'!$A$6:$AF$289,24))*(I17))</f>
        <v>0</v>
      </c>
      <c r="AB17" s="3">
        <f>IF(A17 = 0, 0,(VLOOKUP(A17,'Feeds List'!$A$6:$AF$289,25))*(I17))</f>
        <v>0</v>
      </c>
      <c r="AC17" s="3">
        <f>IF(A17 = 0, 0,(VLOOKUP(A17,'Feeds List'!$A$6:$AF$289,26))*(I17))</f>
        <v>0</v>
      </c>
      <c r="AD17" s="3">
        <f>IF(A17 = 0, 0,(VLOOKUP(A17,'Feeds List'!$A$6:$AF$289,27))*(I17))</f>
        <v>0</v>
      </c>
      <c r="AE17" s="3">
        <f>IF(A17 = 0, 0,(VLOOKUP(A17,'Feeds List'!$A$6:$AF$289,28))*(I17))</f>
        <v>0</v>
      </c>
      <c r="AF17" s="3">
        <f>IF(A17 = 0, 0,(VLOOKUP(A17,'Feeds List'!$A$6:$AF$289,29))*(I17))</f>
        <v>0</v>
      </c>
    </row>
    <row r="18" spans="1:32">
      <c r="A18">
        <f>'Ration Formulation'!A20</f>
        <v>0</v>
      </c>
      <c r="B18" t="str">
        <f>'Ration Formulation'!B20</f>
        <v/>
      </c>
      <c r="C18" s="3">
        <f>IF(A18=0,0,'Ration Formulation'!C20)</f>
        <v>0</v>
      </c>
      <c r="D18" s="5">
        <f t="shared" si="2"/>
        <v>0</v>
      </c>
      <c r="E18" s="3">
        <f t="shared" si="0"/>
        <v>0</v>
      </c>
      <c r="F18" s="2">
        <f>IF(A18 = 0, 0,'Ration Formulation'!D20/100*E18)</f>
        <v>0</v>
      </c>
      <c r="G18">
        <f>IF(A18 = 0, 0,VLOOKUP(A18,'Feeds List'!$A$6:$AF$289,7))</f>
        <v>0</v>
      </c>
      <c r="H18">
        <f>'Ration Formulation'!C$26*I18</f>
        <v>0</v>
      </c>
      <c r="I18" s="2">
        <f t="shared" si="3"/>
        <v>0</v>
      </c>
      <c r="J18" s="2">
        <f t="shared" si="1"/>
        <v>0</v>
      </c>
      <c r="K18">
        <f>IF(A18 = 0, 0,(VLOOKUP(A18,'Feeds List'!$A$6:$AF$289,8))*I18)</f>
        <v>0</v>
      </c>
      <c r="L18">
        <f>IF(A18 = 0, 0,(VLOOKUP(A18,'Feeds List'!$A$6:$AF$289,9))*I18)</f>
        <v>0</v>
      </c>
      <c r="M18">
        <f>IF(A18 = 0, 0,(VLOOKUP(A18,'Feeds List'!$A$6:$AF$289,10))*I18)</f>
        <v>0</v>
      </c>
      <c r="N18">
        <f>IF(A18 = 0, 0,(VLOOKUP(A18,'Feeds List'!$A$6:$AF$289,11))*I18)</f>
        <v>0</v>
      </c>
      <c r="O18">
        <f>IF(A18 = 0, 0,(VLOOKUP(A18,'Feeds List'!$A$6:$AF$289,12))*I18)</f>
        <v>0</v>
      </c>
      <c r="P18">
        <f>IF(A18 = 0, 0,(VLOOKUP(A18,'Feeds List'!$A$6:$AF$289,13))*I18)</f>
        <v>0</v>
      </c>
      <c r="Q18">
        <f>IF(A18 = 0, 0,(VLOOKUP(A18,'Feeds List'!$A$6:$AF$289,14))*I18)</f>
        <v>0</v>
      </c>
      <c r="R18">
        <f>IF(A18 = 0, 0,(VLOOKUP(A18,'Feeds List'!$A$6:$AF$289,15))*I18)</f>
        <v>0</v>
      </c>
      <c r="S18">
        <f>IF(A18 = 0, 0,(VLOOKUP(A18,'Feeds List'!$A$6:$AF$289,16))*I18)</f>
        <v>0</v>
      </c>
      <c r="T18">
        <f>IF(A18 = 0, 0,(VLOOKUP(A18,'Feeds List'!$A$6:$AF$289,17))*I18)</f>
        <v>0</v>
      </c>
      <c r="U18">
        <f>IF(A18 = 0, 0,(VLOOKUP(A18,'Feeds List'!$A$6:$AF$289,18))*I18)</f>
        <v>0</v>
      </c>
      <c r="V18">
        <f>IF(A18 = 0, 0,(VLOOKUP(A18,'Feeds List'!$A$6:$AF$289,19))*I18)</f>
        <v>0</v>
      </c>
      <c r="W18">
        <f>IF(A18 = 0, 0,(VLOOKUP(A18,'Feeds List'!$A$6:$AF$289,20))*I18)</f>
        <v>0</v>
      </c>
      <c r="X18">
        <f>IF(A18 = 0, 0,(VLOOKUP(A18,'Feeds List'!$A$6:$AF$289,21))*I18)</f>
        <v>0</v>
      </c>
      <c r="Y18">
        <f>IF(A18 = 0, 0,(VLOOKUP(A18,'Feeds List'!$A$6:$AF$289,22))*I18)</f>
        <v>0</v>
      </c>
      <c r="Z18" s="3">
        <f>IF(A18 = 0, 0,(VLOOKUP(A18,'Feeds List'!$A$6:$AF$289,23))*(I18))</f>
        <v>0</v>
      </c>
      <c r="AA18" s="3">
        <f>IF(A18 = 0, 0,(VLOOKUP(A18,'Feeds List'!$A$6:$AF$289,24))*(I18))</f>
        <v>0</v>
      </c>
      <c r="AB18" s="3">
        <f>IF(A18 = 0, 0,(VLOOKUP(A18,'Feeds List'!$A$6:$AF$289,25))*(I18))</f>
        <v>0</v>
      </c>
      <c r="AC18" s="3">
        <f>IF(A18 = 0, 0,(VLOOKUP(A18,'Feeds List'!$A$6:$AF$289,26))*(I18))</f>
        <v>0</v>
      </c>
      <c r="AD18" s="3">
        <f>IF(A18 = 0, 0,(VLOOKUP(A18,'Feeds List'!$A$6:$AF$289,27))*(I18))</f>
        <v>0</v>
      </c>
      <c r="AE18" s="3">
        <f>IF(A18 = 0, 0,(VLOOKUP(A18,'Feeds List'!$A$6:$AF$289,28))*(I18))</f>
        <v>0</v>
      </c>
      <c r="AF18" s="3">
        <f>IF(A18 = 0, 0,(VLOOKUP(A18,'Feeds List'!$A$6:$AF$289,29))*(I18))</f>
        <v>0</v>
      </c>
    </row>
    <row r="19" spans="1:32" ht="13.5" thickBot="1">
      <c r="A19" s="1">
        <f>'Ration Formulation'!A21</f>
        <v>0</v>
      </c>
      <c r="B19" s="1" t="str">
        <f>'Ration Formulation'!B21</f>
        <v/>
      </c>
      <c r="C19" s="4">
        <f>IF(A19=0,0,'Ration Formulation'!C21)</f>
        <v>0</v>
      </c>
      <c r="D19" s="12">
        <f t="shared" si="2"/>
        <v>0</v>
      </c>
      <c r="E19" s="3">
        <f t="shared" si="0"/>
        <v>0</v>
      </c>
      <c r="F19" s="2">
        <f>IF(A19 = 0, 0,'Ration Formulation'!D21/100*E19)</f>
        <v>0</v>
      </c>
      <c r="G19" s="1">
        <f>IF(A19 = 0, 0,VLOOKUP(A19,'Feeds List'!$A$6:$AF$289,7))</f>
        <v>0</v>
      </c>
      <c r="H19">
        <f>'Ration Formulation'!C$26*I19</f>
        <v>0</v>
      </c>
      <c r="I19" s="2">
        <f t="shared" si="3"/>
        <v>0</v>
      </c>
      <c r="J19" s="2">
        <f t="shared" si="1"/>
        <v>0</v>
      </c>
      <c r="K19" s="1">
        <f>IF(A19 = 0, 0,(VLOOKUP(A19,'Feeds List'!$A$6:$AF$289,8))*I19)</f>
        <v>0</v>
      </c>
      <c r="L19" s="1">
        <f>IF(A19 = 0, 0,(VLOOKUP(A19,'Feeds List'!$A$6:$AF$289,9))*I19)</f>
        <v>0</v>
      </c>
      <c r="M19" s="1">
        <f>IF(A19 = 0, 0,(VLOOKUP(A19,'Feeds List'!$A$6:$AF$289,10))*I19)</f>
        <v>0</v>
      </c>
      <c r="N19" s="1">
        <f>IF(A19 = 0, 0,(VLOOKUP(A19,'Feeds List'!$A$6:$AF$289,11))*I19)</f>
        <v>0</v>
      </c>
      <c r="O19" s="1">
        <f>IF(A19 = 0, 0,(VLOOKUP(A19,'Feeds List'!$A$6:$AF$289,12))*I19)</f>
        <v>0</v>
      </c>
      <c r="P19" s="1">
        <f>IF(A19 = 0, 0,(VLOOKUP(A19,'Feeds List'!$A$6:$AF$289,13))*I19)</f>
        <v>0</v>
      </c>
      <c r="Q19" s="1">
        <f>IF(A19 = 0, 0,(VLOOKUP(A19,'Feeds List'!$A$6:$AF$289,14))*I19)</f>
        <v>0</v>
      </c>
      <c r="R19" s="1">
        <f>IF(A19 = 0, 0,(VLOOKUP(A19,'Feeds List'!$A$6:$AF$289,15))*I19)</f>
        <v>0</v>
      </c>
      <c r="S19" s="1">
        <f>IF(A19 = 0, 0,(VLOOKUP(A19,'Feeds List'!$A$6:$AF$289,16))*I19)</f>
        <v>0</v>
      </c>
      <c r="T19" s="1">
        <f>IF(A19 = 0, 0,(VLOOKUP(A19,'Feeds List'!$A$6:$AF$289,17))*I19)</f>
        <v>0</v>
      </c>
      <c r="U19" s="1">
        <f>IF(A19 = 0, 0,(VLOOKUP(A19,'Feeds List'!$A$6:$AF$289,18))*I19)</f>
        <v>0</v>
      </c>
      <c r="V19" s="1">
        <f>IF(A19 = 0, 0,(VLOOKUP(A19,'Feeds List'!$A$6:$AF$289,19))*I19)</f>
        <v>0</v>
      </c>
      <c r="W19" s="1">
        <f>IF(A19 = 0, 0,(VLOOKUP(A19,'Feeds List'!$A$6:$AF$289,20))*I19)</f>
        <v>0</v>
      </c>
      <c r="X19" s="1">
        <f>IF(A19 = 0, 0,(VLOOKUP(A19,'Feeds List'!$A$6:$AF$289,21))*I19)</f>
        <v>0</v>
      </c>
      <c r="Y19" s="1">
        <f>IF(A19 = 0, 0,(VLOOKUP(A19,'Feeds List'!$A$6:$AF$289,22))*I19)</f>
        <v>0</v>
      </c>
      <c r="Z19" s="4">
        <f>IF(A19 = 0, 0,(VLOOKUP(A19,'Feeds List'!$A$6:$AF$289,23))*(I19))</f>
        <v>0</v>
      </c>
      <c r="AA19" s="4">
        <f>IF(A19 = 0, 0,(VLOOKUP(A19,'Feeds List'!$A$6:$AF$289,24))*(I19))</f>
        <v>0</v>
      </c>
      <c r="AB19" s="4">
        <f>IF(A19 = 0, 0,(VLOOKUP(A19,'Feeds List'!$A$6:$AF$289,25))*(I19))</f>
        <v>0</v>
      </c>
      <c r="AC19" s="4">
        <f>IF(A19 = 0, 0,(VLOOKUP(A19,'Feeds List'!$A$6:$AF$289,26))*(I19))</f>
        <v>0</v>
      </c>
      <c r="AD19" s="4">
        <f>IF(A19 = 0, 0,(VLOOKUP(A19,'Feeds List'!$A$6:$AF$289,27))*(I19))</f>
        <v>0</v>
      </c>
      <c r="AE19" s="4">
        <f>IF(A19 = 0, 0,(VLOOKUP(A19,'Feeds List'!$A$6:$AF$289,28))*(I19))</f>
        <v>0</v>
      </c>
      <c r="AF19" s="4">
        <f>IF(A19 = 0, 0,(VLOOKUP(A19,'Feeds List'!$A$6:$AF$289,29))*(I19))</f>
        <v>0</v>
      </c>
    </row>
    <row r="20" spans="1:32" ht="13.5" thickTop="1">
      <c r="B20" t="s">
        <v>368</v>
      </c>
      <c r="C20" s="3">
        <f t="shared" ref="C20:H20" si="4">SUM(C5:C19)</f>
        <v>100</v>
      </c>
      <c r="D20" s="3">
        <f t="shared" si="4"/>
        <v>1</v>
      </c>
      <c r="E20" s="3">
        <f t="shared" si="4"/>
        <v>15.950735157968172</v>
      </c>
      <c r="F20" s="11">
        <f t="shared" si="4"/>
        <v>0</v>
      </c>
      <c r="G20">
        <f t="shared" si="4"/>
        <v>459</v>
      </c>
      <c r="H20">
        <f t="shared" si="4"/>
        <v>14.435415317961196</v>
      </c>
      <c r="I20" s="2">
        <f>J20/$J$20</f>
        <v>1</v>
      </c>
      <c r="J20">
        <f t="shared" ref="J20:AF20" si="5">SUM(J5:J19)</f>
        <v>90.5</v>
      </c>
      <c r="K20">
        <f t="shared" si="5"/>
        <v>39.125966850828732</v>
      </c>
      <c r="L20">
        <f t="shared" si="5"/>
        <v>17.138121546961326</v>
      </c>
      <c r="M20">
        <f t="shared" si="5"/>
        <v>81.967955801104978</v>
      </c>
      <c r="N20">
        <f t="shared" si="5"/>
        <v>1.3470241274736314</v>
      </c>
      <c r="O20">
        <f t="shared" si="5"/>
        <v>0.90776296476461771</v>
      </c>
      <c r="P20">
        <f t="shared" si="5"/>
        <v>0.61092322773699925</v>
      </c>
      <c r="Q20" s="2">
        <f t="shared" si="5"/>
        <v>15.858232044198896</v>
      </c>
      <c r="R20" s="2">
        <f t="shared" si="5"/>
        <v>40.438969795670111</v>
      </c>
      <c r="S20" s="2">
        <f t="shared" si="5"/>
        <v>7.3289502762430949</v>
      </c>
      <c r="T20" s="2">
        <f t="shared" si="5"/>
        <v>0.87854143646408844</v>
      </c>
      <c r="U20" s="2">
        <f t="shared" si="5"/>
        <v>0.56467403314917131</v>
      </c>
      <c r="V20" s="2">
        <f t="shared" si="5"/>
        <v>0.28211049723756909</v>
      </c>
      <c r="W20" s="2">
        <f t="shared" si="5"/>
        <v>0.67103867403314932</v>
      </c>
      <c r="X20" s="2">
        <f t="shared" si="5"/>
        <v>0.1392596685082873</v>
      </c>
      <c r="Y20" s="2">
        <f t="shared" si="5"/>
        <v>0.14942541436464088</v>
      </c>
      <c r="Z20" s="3">
        <f t="shared" si="5"/>
        <v>8.6449723756906072E-2</v>
      </c>
      <c r="AA20" s="3">
        <f t="shared" si="5"/>
        <v>11.156353591160221</v>
      </c>
      <c r="AB20" s="3">
        <f t="shared" si="5"/>
        <v>2.5640883977900555E-2</v>
      </c>
      <c r="AC20" s="3">
        <f t="shared" si="5"/>
        <v>227.50718232044198</v>
      </c>
      <c r="AD20" s="3">
        <f t="shared" si="5"/>
        <v>16.811602209944752</v>
      </c>
      <c r="AE20" s="3">
        <f t="shared" si="5"/>
        <v>0.12066298342541437</v>
      </c>
      <c r="AF20" s="3">
        <f t="shared" si="5"/>
        <v>20.452375690607735</v>
      </c>
    </row>
    <row r="65514" spans="3:6">
      <c r="C65514" s="3"/>
      <c r="F65514" s="3"/>
    </row>
  </sheetData>
  <sheetProtection password="CB15"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Calf Info</vt:lpstr>
      <vt:lpstr>Ration Formulation</vt:lpstr>
      <vt:lpstr>Feeds List</vt:lpstr>
      <vt:lpstr>Feed Blend</vt:lpstr>
      <vt:lpstr>calf req</vt:lpstr>
      <vt:lpstr>Feed Summary</vt:lpstr>
      <vt:lpstr>'Feed Blend'!Print_Area</vt:lpstr>
      <vt:lpstr>'Ration Formulation'!Print_Area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Tech Support</cp:lastModifiedBy>
  <cp:lastPrinted>2009-07-10T16:42:21Z</cp:lastPrinted>
  <dcterms:created xsi:type="dcterms:W3CDTF">2001-12-25T19:08:55Z</dcterms:created>
  <dcterms:modified xsi:type="dcterms:W3CDTF">2013-09-13T17:49:40Z</dcterms:modified>
</cp:coreProperties>
</file>